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D" sheetId="1" r:id="rId5"/>
    <sheet state="visible" name="FEL" sheetId="2" r:id="rId6"/>
    <sheet state="visible" name="FJUN" sheetId="3" r:id="rId7"/>
    <sheet state="visible" name="FEL. +FJUN" sheetId="4" r:id="rId8"/>
    <sheet state="visible" name="M50" sheetId="5" r:id="rId9"/>
    <sheet state="visible" name="M60" sheetId="6" r:id="rId10"/>
    <sheet state="visible" name="FM" sheetId="7" r:id="rId11"/>
    <sheet state="visible" name="FKAD" sheetId="8" r:id="rId12"/>
    <sheet state="visible" name="ŽS" sheetId="9" r:id="rId13"/>
    <sheet state="visible" name="FŽS" sheetId="10" r:id="rId14"/>
    <sheet state="visible" name="ŽM" sheetId="11" r:id="rId15"/>
    <sheet state="visible" name="FŽM" sheetId="12" r:id="rId16"/>
    <sheet state="visible" name="JUN" sheetId="13" r:id="rId17"/>
    <sheet state="visible" name="M40" sheetId="14" r:id="rId18"/>
    <sheet state="visible" name="U23MEN" sheetId="15" r:id="rId19"/>
    <sheet state="visible" name="EL" sheetId="16" r:id="rId20"/>
    <sheet state="visible" name="III.vlna" sheetId="17" r:id="rId21"/>
    <sheet state="visible" name="G8" sheetId="18" r:id="rId22"/>
    <sheet state="visible" name="B8" sheetId="19" r:id="rId23"/>
    <sheet state="visible" name="G10" sheetId="20" r:id="rId24"/>
    <sheet state="visible" name="B10" sheetId="21" r:id="rId25"/>
    <sheet state="visible" name="LIST" sheetId="22" r:id="rId26"/>
  </sheets>
  <definedNames/>
  <calcPr/>
</workbook>
</file>

<file path=xl/sharedStrings.xml><?xml version="1.0" encoding="utf-8"?>
<sst xmlns="http://schemas.openxmlformats.org/spreadsheetml/2006/main" count="1229" uniqueCount="194">
  <si>
    <t>Trofeo Cinelli - Synett 2026 Hlohovec</t>
  </si>
  <si>
    <t>Název závodu:</t>
  </si>
  <si>
    <t>Pořadatel: SPORTCOMPLEX z.s.</t>
  </si>
  <si>
    <t>Místo konání:</t>
  </si>
  <si>
    <t>Hlohovec</t>
  </si>
  <si>
    <t>Datum konání:</t>
  </si>
  <si>
    <t>Typ závodu:</t>
  </si>
  <si>
    <t>Silniční závod na okruhu</t>
  </si>
  <si>
    <t>Třída závodu:</t>
  </si>
  <si>
    <t>Krajský závod</t>
  </si>
  <si>
    <t>Organizováno pod svazem ČSC</t>
  </si>
  <si>
    <t>Výsledková listina</t>
  </si>
  <si>
    <t>Ženy Elite</t>
  </si>
  <si>
    <t>Juniorky + Ženy</t>
  </si>
  <si>
    <t>Juniorky</t>
  </si>
  <si>
    <t>Kadeti</t>
  </si>
  <si>
    <t>Kategorie:</t>
  </si>
  <si>
    <t>F*EL</t>
  </si>
  <si>
    <t>Délka tratě: (km)</t>
  </si>
  <si>
    <t>F*JUN*EL</t>
  </si>
  <si>
    <t>F*JUN</t>
  </si>
  <si>
    <t>Průměrná rychlost: (km/h)</t>
  </si>
  <si>
    <t>KAD</t>
  </si>
  <si>
    <t>Čas vítěze:</t>
  </si>
  <si>
    <t>Počet přihlášených:</t>
  </si>
  <si>
    <t>Odstartovalo:</t>
  </si>
  <si>
    <t>Dokončilo:</t>
  </si>
  <si>
    <t>Pořadí</t>
  </si>
  <si>
    <t>Bib</t>
  </si>
  <si>
    <t>UCI ID</t>
  </si>
  <si>
    <t>Příjmení</t>
  </si>
  <si>
    <t>Jméno</t>
  </si>
  <si>
    <t>Národnost</t>
  </si>
  <si>
    <t>Tým</t>
  </si>
  <si>
    <t>Kategorie</t>
  </si>
  <si>
    <t>Čas</t>
  </si>
  <si>
    <t>-1 kolo</t>
  </si>
  <si>
    <t>DNF</t>
  </si>
  <si>
    <t>-2 kola</t>
  </si>
  <si>
    <t>DNS</t>
  </si>
  <si>
    <t>Kaňkovská</t>
  </si>
  <si>
    <t>Nela</t>
  </si>
  <si>
    <t>CZE</t>
  </si>
  <si>
    <t>KTM Tirol</t>
  </si>
  <si>
    <t>Bartoníková</t>
  </si>
  <si>
    <t>Veronika</t>
  </si>
  <si>
    <t>Dukla Women Cycling</t>
  </si>
  <si>
    <t>Hudáková</t>
  </si>
  <si>
    <t>Martina</t>
  </si>
  <si>
    <t>SVK</t>
  </si>
  <si>
    <t>Optika Oros Cycling Team</t>
  </si>
  <si>
    <t>Dubcová</t>
  </si>
  <si>
    <t>Štěpánka</t>
  </si>
  <si>
    <t>Team Forman Energetic</t>
  </si>
  <si>
    <t>Stránská</t>
  </si>
  <si>
    <t>Adéla</t>
  </si>
  <si>
    <t>BRILON RACING TEAM MB</t>
  </si>
  <si>
    <t>JEZNÁ</t>
  </si>
  <si>
    <t>Sarah</t>
  </si>
  <si>
    <t>CK EPIC Dohňany</t>
  </si>
  <si>
    <t>Hajzlerová</t>
  </si>
  <si>
    <t>TJ AUTO ŠKODA Mladá Boleslav</t>
  </si>
  <si>
    <t>Následující pořadí:</t>
  </si>
  <si>
    <t>Nedojelo:</t>
  </si>
  <si>
    <t>Diskvalifikováno:</t>
  </si>
  <si>
    <t>Časový limit:</t>
  </si>
  <si>
    <t>Mimo časový limit:</t>
  </si>
  <si>
    <t>Další sdělení:</t>
  </si>
  <si>
    <t>Samuel</t>
  </si>
  <si>
    <t>Oliver</t>
  </si>
  <si>
    <t>CK Olympik Trnava</t>
  </si>
  <si>
    <t>Rybář</t>
  </si>
  <si>
    <t>Kryštof</t>
  </si>
  <si>
    <t>FIEGE VELO AKADEMIE</t>
  </si>
  <si>
    <t>Lanča</t>
  </si>
  <si>
    <t>Dominik</t>
  </si>
  <si>
    <t>TUFO PARDUS Prostějov</t>
  </si>
  <si>
    <t>Masters 60</t>
  </si>
  <si>
    <t>M60</t>
  </si>
  <si>
    <t>Masters 50</t>
  </si>
  <si>
    <t>M50</t>
  </si>
  <si>
    <t>- 1 kolo</t>
  </si>
  <si>
    <t>- 2 kola</t>
  </si>
  <si>
    <t>Ženy Masters</t>
  </si>
  <si>
    <t>F*M</t>
  </si>
  <si>
    <t>Petrů</t>
  </si>
  <si>
    <t>Jan</t>
  </si>
  <si>
    <t>STREDECNI MONUMENTY</t>
  </si>
  <si>
    <t>Kadetky</t>
  </si>
  <si>
    <t>F*KAD</t>
  </si>
  <si>
    <t>OTL</t>
  </si>
  <si>
    <t>Makovská</t>
  </si>
  <si>
    <t>Ellie</t>
  </si>
  <si>
    <t>BB Com Devcity</t>
  </si>
  <si>
    <t>Mečírová</t>
  </si>
  <si>
    <t>Katarína</t>
  </si>
  <si>
    <t>Mitanová</t>
  </si>
  <si>
    <t>Simona</t>
  </si>
  <si>
    <t>CLIMBERG SPORT TEAM</t>
  </si>
  <si>
    <t>Žáci starší</t>
  </si>
  <si>
    <t>ŽS</t>
  </si>
  <si>
    <t>Žákyně starší</t>
  </si>
  <si>
    <t>F*ŽS</t>
  </si>
  <si>
    <t>Pozorský</t>
  </si>
  <si>
    <t>Martin</t>
  </si>
  <si>
    <t>DRAHANSKÝ SPORT</t>
  </si>
  <si>
    <t>Doležálek</t>
  </si>
  <si>
    <t>Josef</t>
  </si>
  <si>
    <t>Stuchl</t>
  </si>
  <si>
    <t>Matyáš</t>
  </si>
  <si>
    <t>CK Dacom Pharma Kyjov</t>
  </si>
  <si>
    <t>CRKOŇ</t>
  </si>
  <si>
    <t>KRIŽANOVIČ</t>
  </si>
  <si>
    <t>Andrej</t>
  </si>
  <si>
    <t>Jezberger</t>
  </si>
  <si>
    <t>Jakub</t>
  </si>
  <si>
    <t>Husák</t>
  </si>
  <si>
    <t>David</t>
  </si>
  <si>
    <t>Kysela</t>
  </si>
  <si>
    <t>Viktor</t>
  </si>
  <si>
    <t>TJ FAVORIT BRNO</t>
  </si>
  <si>
    <t>Diblíková</t>
  </si>
  <si>
    <t>Liliana</t>
  </si>
  <si>
    <t>RUSNÁKOVÁ</t>
  </si>
  <si>
    <t>Emma</t>
  </si>
  <si>
    <t>CyS - Akadémia Petra Sagana</t>
  </si>
  <si>
    <t>Žáci mladší</t>
  </si>
  <si>
    <t>Žákyně mladší</t>
  </si>
  <si>
    <t>ŽM</t>
  </si>
  <si>
    <t>F*ŽM</t>
  </si>
  <si>
    <t>Švec</t>
  </si>
  <si>
    <t>Junioři / MU19</t>
  </si>
  <si>
    <t>JUN</t>
  </si>
  <si>
    <t>Frýdek</t>
  </si>
  <si>
    <t>Lukáš</t>
  </si>
  <si>
    <t>Nejedlý</t>
  </si>
  <si>
    <t>Ondřej</t>
  </si>
  <si>
    <t>Bindr</t>
  </si>
  <si>
    <t>Olivere</t>
  </si>
  <si>
    <t>Panoš</t>
  </si>
  <si>
    <t>Nagy</t>
  </si>
  <si>
    <t>Matúš</t>
  </si>
  <si>
    <t>Radvánszky</t>
  </si>
  <si>
    <t>Bertalan</t>
  </si>
  <si>
    <t>HUN</t>
  </si>
  <si>
    <t>Lotus Team</t>
  </si>
  <si>
    <t>Pastva</t>
  </si>
  <si>
    <t>Roman Kreuziger Cycling Academy</t>
  </si>
  <si>
    <t>Drábek</t>
  </si>
  <si>
    <t>Nikola</t>
  </si>
  <si>
    <t>Team Dukla Praha</t>
  </si>
  <si>
    <t>Vilk</t>
  </si>
  <si>
    <t>Bredler</t>
  </si>
  <si>
    <t>Jonáš</t>
  </si>
  <si>
    <t>Kramoliš</t>
  </si>
  <si>
    <t>Max</t>
  </si>
  <si>
    <t>Masters 40</t>
  </si>
  <si>
    <t>M40</t>
  </si>
  <si>
    <t>Hogenhout</t>
  </si>
  <si>
    <t>Cas</t>
  </si>
  <si>
    <t>NL</t>
  </si>
  <si>
    <t>Geizhals.at VICC Racing Division</t>
  </si>
  <si>
    <t>Ulreich</t>
  </si>
  <si>
    <t>Jakob</t>
  </si>
  <si>
    <t>AUT</t>
  </si>
  <si>
    <t>Lechner</t>
  </si>
  <si>
    <t>Lukas</t>
  </si>
  <si>
    <t>Bršel</t>
  </si>
  <si>
    <t>PSG - PRO VÝKON</t>
  </si>
  <si>
    <t>Frolik</t>
  </si>
  <si>
    <t>Rafkarna IDEA Cycling Team</t>
  </si>
  <si>
    <t>Muži U23</t>
  </si>
  <si>
    <t>U23MEN</t>
  </si>
  <si>
    <t>Havránek</t>
  </si>
  <si>
    <t>Michal</t>
  </si>
  <si>
    <t>UNLIMITED KM TRADING CZ</t>
  </si>
  <si>
    <t>Muži Elite</t>
  </si>
  <si>
    <t>EL</t>
  </si>
  <si>
    <t>III. vlna</t>
  </si>
  <si>
    <t>vlna</t>
  </si>
  <si>
    <t>10022031411</t>
  </si>
  <si>
    <t>Rush</t>
  </si>
  <si>
    <t>Christian</t>
  </si>
  <si>
    <t>NZL</t>
  </si>
  <si>
    <t>ARBÖ Kärnten Sport Feld am See</t>
  </si>
  <si>
    <t>Holky 2018 a mladší</t>
  </si>
  <si>
    <t>G8</t>
  </si>
  <si>
    <t>X</t>
  </si>
  <si>
    <t>Kluci 2018 a mladší</t>
  </si>
  <si>
    <t>B8</t>
  </si>
  <si>
    <t>Nábor holky</t>
  </si>
  <si>
    <t>G10</t>
  </si>
  <si>
    <t>Nábor kluci</t>
  </si>
  <si>
    <t>B10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</si>
</sst>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[h]&quot;:&quot;mm&quot;:&quot;ss"/>
  </numFmts>
  <fonts count="13">
    <font>
      <sz val="10.0"/>
      <color rgb="FF000000"/>
      <name val="Arial"/>
      <scheme val="minor"/>
    </font>
    <font>
      <color theme="1"/>
      <name val="Arial"/>
    </font>
    <font>
      <b/>
      <sz val="16.0"/>
      <color theme="1"/>
      <name val="Arial"/>
    </font>
    <font>
      <b/>
      <sz val="18.0"/>
      <color theme="1"/>
      <name val="Arial"/>
    </font>
    <font/>
    <font>
      <b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u/>
      <color rgb="FF0000FF"/>
      <name val="Arial"/>
    </font>
  </fonts>
  <fills count="2">
    <fill>
      <patternFill patternType="none"/>
    </fill>
    <fill>
      <patternFill patternType="lightGray"/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center"/>
    </xf>
    <xf borderId="2" fillId="0" fontId="3" numFmtId="0" xfId="0" applyAlignment="1" applyBorder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vertical="bottom"/>
    </xf>
    <xf borderId="4" fillId="0" fontId="5" numFmtId="0" xfId="0" applyAlignment="1" applyBorder="1" applyFont="1">
      <alignment horizontal="center"/>
    </xf>
    <xf borderId="5" fillId="0" fontId="4" numFmtId="0" xfId="0" applyBorder="1" applyFont="1"/>
    <xf borderId="6" fillId="0" fontId="4" numFmtId="0" xfId="0" applyBorder="1" applyFont="1"/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7" numFmtId="164" xfId="0" applyAlignment="1" applyFont="1" applyNumberFormat="1">
      <alignment horizontal="left" vertical="bottom"/>
    </xf>
    <xf borderId="0" fillId="0" fontId="1" numFmtId="0" xfId="0" applyFont="1"/>
    <xf borderId="0" fillId="0" fontId="5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0" fontId="10" numFmtId="0" xfId="0" applyAlignment="1" applyFont="1">
      <alignment horizontal="center" readingOrder="0" vertical="center"/>
    </xf>
    <xf borderId="0" fillId="0" fontId="9" numFmtId="0" xfId="0" applyAlignment="1" applyFont="1">
      <alignment horizontal="right" readingOrder="0"/>
    </xf>
    <xf borderId="0" fillId="0" fontId="11" numFmtId="0" xfId="0" applyAlignment="1" applyFont="1">
      <alignment horizontal="left" readingOrder="0"/>
    </xf>
    <xf borderId="0" fillId="0" fontId="11" numFmtId="4" xfId="0" applyAlignment="1" applyFont="1" applyNumberFormat="1">
      <alignment horizontal="left" readingOrder="0"/>
    </xf>
    <xf borderId="0" fillId="0" fontId="1" numFmtId="0" xfId="0" applyAlignment="1" applyFont="1">
      <alignment horizontal="center" readingOrder="0"/>
    </xf>
    <xf borderId="0" fillId="0" fontId="1" numFmtId="165" xfId="0" applyAlignment="1" applyFont="1" applyNumberFormat="1">
      <alignment horizontal="left" readingOrder="0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7" fillId="0" fontId="5" numFmtId="0" xfId="0" applyAlignment="1" applyBorder="1" applyFont="1">
      <alignment readingOrder="0" shrinkToFit="0" vertical="bottom" wrapText="1"/>
    </xf>
    <xf borderId="8" fillId="0" fontId="5" numFmtId="0" xfId="0" applyAlignment="1" applyBorder="1" applyFont="1">
      <alignment shrinkToFit="0" vertical="bottom" wrapText="1"/>
    </xf>
    <xf borderId="8" fillId="0" fontId="5" numFmtId="0" xfId="0" applyAlignment="1" applyBorder="1" applyFont="1">
      <alignment readingOrder="0" shrinkToFit="0" vertical="bottom" wrapText="1"/>
    </xf>
    <xf borderId="8" fillId="0" fontId="5" numFmtId="0" xfId="0" applyAlignment="1" applyBorder="1" applyFont="1">
      <alignment horizontal="center" readingOrder="0" shrinkToFit="0" vertical="bottom" wrapText="1"/>
    </xf>
    <xf borderId="9" fillId="0" fontId="5" numFmtId="0" xfId="0" applyAlignment="1" applyBorder="1" applyFont="1">
      <alignment horizontal="center" readingOrder="0" shrinkToFit="0" vertical="bottom" wrapText="1"/>
    </xf>
    <xf borderId="10" fillId="0" fontId="5" numFmtId="0" xfId="0" applyAlignment="1" applyBorder="1" applyFont="1">
      <alignment horizontal="center" readingOrder="0"/>
    </xf>
    <xf borderId="10" fillId="0" fontId="5" numFmtId="1" xfId="0" applyAlignment="1" applyBorder="1" applyFont="1" applyNumberFormat="1">
      <alignment horizontal="center" readingOrder="0"/>
    </xf>
    <xf borderId="10" fillId="0" fontId="1" numFmtId="0" xfId="0" applyAlignment="1" applyBorder="1" applyFont="1">
      <alignment horizontal="left"/>
    </xf>
    <xf borderId="10" fillId="0" fontId="1" numFmtId="0" xfId="0" applyAlignment="1" applyBorder="1" applyFont="1">
      <alignment horizontal="center"/>
    </xf>
    <xf borderId="10" fillId="0" fontId="1" numFmtId="21" xfId="0" applyAlignment="1" applyBorder="1" applyFont="1" applyNumberFormat="1">
      <alignment horizontal="center" readingOrder="0"/>
    </xf>
    <xf borderId="10" fillId="0" fontId="1" numFmtId="0" xfId="0" applyAlignment="1" applyBorder="1" applyFont="1">
      <alignment horizontal="center" readingOrder="0"/>
    </xf>
    <xf borderId="10" fillId="0" fontId="1" numFmtId="0" xfId="0" applyAlignment="1" applyBorder="1" applyFont="1">
      <alignment horizontal="left" readingOrder="0"/>
    </xf>
    <xf borderId="10" fillId="0" fontId="5" numFmtId="0" xfId="0" applyAlignment="1" applyBorder="1" applyFont="1">
      <alignment horizontal="center" vertical="bottom"/>
    </xf>
    <xf borderId="11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left"/>
    </xf>
    <xf borderId="11" fillId="0" fontId="5" numFmtId="0" xfId="0" applyAlignment="1" applyBorder="1" applyFont="1">
      <alignment horizontal="center" readingOrder="0"/>
    </xf>
    <xf borderId="10" fillId="0" fontId="5" numFmtId="0" xfId="0" applyAlignment="1" applyBorder="1" applyFont="1">
      <alignment readingOrder="0"/>
    </xf>
    <xf borderId="11" fillId="0" fontId="1" numFmtId="0" xfId="0" applyBorder="1" applyFont="1"/>
    <xf borderId="11" fillId="0" fontId="1" numFmtId="0" xfId="0" applyAlignment="1" applyBorder="1" applyFont="1">
      <alignment horizontal="center" readingOrder="0"/>
    </xf>
    <xf borderId="11" fillId="0" fontId="1" numFmtId="0" xfId="0" applyAlignment="1" applyBorder="1" applyFont="1">
      <alignment horizontal="left" readingOrder="0"/>
    </xf>
    <xf borderId="10" fillId="0" fontId="5" numFmtId="0" xfId="0" applyAlignment="1" applyBorder="1" applyFont="1">
      <alignment horizontal="center" readingOrder="0" vertical="bottom"/>
    </xf>
    <xf borderId="11" fillId="0" fontId="1" numFmtId="21" xfId="0" applyAlignment="1" applyBorder="1" applyFont="1" applyNumberFormat="1">
      <alignment horizontal="center" readingOrder="0"/>
    </xf>
    <xf borderId="11" fillId="0" fontId="1" numFmtId="0" xfId="0" applyAlignment="1" applyBorder="1" applyFont="1">
      <alignment readingOrder="0"/>
    </xf>
    <xf borderId="0" fillId="0" fontId="1" numFmtId="21" xfId="0" applyAlignment="1" applyFont="1" applyNumberFormat="1">
      <alignment horizontal="left" readingOrder="0"/>
    </xf>
    <xf borderId="10" fillId="0" fontId="12" numFmtId="0" xfId="0" applyAlignment="1" applyBorder="1" applyFont="1">
      <alignment horizontal="left"/>
    </xf>
    <xf borderId="0" fillId="0" fontId="1" numFmtId="0" xfId="0" applyAlignment="1" applyFont="1">
      <alignment horizontal="left" readingOrder="0"/>
    </xf>
    <xf borderId="10" fillId="0" fontId="1" numFmtId="1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://forride.cz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15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22</v>
      </c>
      <c r="C9" s="21"/>
      <c r="D9" s="23" t="s">
        <v>18</v>
      </c>
      <c r="E9" s="24">
        <v>56.0</v>
      </c>
      <c r="F9" s="21"/>
      <c r="G9" s="23" t="s">
        <v>21</v>
      </c>
      <c r="H9" s="25">
        <f>IF(OR(E9="",E10=""),"",(E9/(E10*24)))</f>
        <v>40.39270687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>
        <v>0.0577662037037037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97.0</v>
      </c>
      <c r="D12" s="18" t="s">
        <v>25</v>
      </c>
      <c r="E12" s="26">
        <v>94.0</v>
      </c>
      <c r="F12" s="28"/>
      <c r="G12" s="18" t="s">
        <v>26</v>
      </c>
      <c r="H12" s="26">
        <v>86.0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43.0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)"),"10106070187")</f>
        <v>10106070187</v>
      </c>
      <c r="D15" s="37" t="str">
        <f>IFERROR(__xludf.DUMMYFUNCTION("""COMPUTED_VALUE"""),"Čtrnáctý")</f>
        <v>Čtrnáctý</v>
      </c>
      <c r="E15" s="37" t="str">
        <f>IFERROR(__xludf.DUMMYFUNCTION("""COMPUTED_VALUE"""),"Antonín")</f>
        <v>Antonín</v>
      </c>
      <c r="F15" s="37" t="str">
        <f>IFERROR(__xludf.DUMMYFUNCTION("""COMPUTED_VALUE"""),"CZE")</f>
        <v>CZE</v>
      </c>
      <c r="G15" s="37" t="str">
        <f>IFERROR(__xludf.DUMMYFUNCTION("""COMPUTED_VALUE"""),"DUKLA PRAHA")</f>
        <v>DUKLA PRAHA</v>
      </c>
      <c r="H15" s="37" t="str">
        <f>IFERROR(__xludf.DUMMYFUNCTION("""COMPUTED_VALUE"""),"KAD")</f>
        <v>KAD</v>
      </c>
      <c r="I15" s="39">
        <v>0.0577662037037037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22.0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)"),"10155263638")</f>
        <v>10155263638</v>
      </c>
      <c r="D16" s="37" t="str">
        <f>IFERROR(__xludf.DUMMYFUNCTION("""COMPUTED_VALUE"""),"Roškota")</f>
        <v>Roškota</v>
      </c>
      <c r="E16" s="37" t="str">
        <f>IFERROR(__xludf.DUMMYFUNCTION("""COMPUTED_VALUE"""),"Jindřich")</f>
        <v>Jindřich</v>
      </c>
      <c r="F16" s="37" t="str">
        <f>IFERROR(__xludf.DUMMYFUNCTION("""COMPUTED_VALUE"""),"CZE")</f>
        <v>CZE</v>
      </c>
      <c r="G16" s="37" t="str">
        <f>IFERROR(__xludf.DUMMYFUNCTION("""COMPUTED_VALUE"""),"Brilon Racing Team MB")</f>
        <v>Brilon Racing Team MB</v>
      </c>
      <c r="H16" s="37" t="str">
        <f>IFERROR(__xludf.DUMMYFUNCTION("""COMPUTED_VALUE"""),"KAD")</f>
        <v>KAD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38.0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)"),"10114282249")</f>
        <v>10114282249</v>
      </c>
      <c r="D17" s="37" t="str">
        <f>IFERROR(__xludf.DUMMYFUNCTION("""COMPUTED_VALUE"""),"ZÁCHENSKÝ")</f>
        <v>ZÁCHENSKÝ</v>
      </c>
      <c r="E17" s="37" t="str">
        <f>IFERROR(__xludf.DUMMYFUNCTION("""COMPUTED_VALUE"""),"Jakub")</f>
        <v>Jakub</v>
      </c>
      <c r="F17" s="37" t="str">
        <f>IFERROR(__xludf.DUMMYFUNCTION("""COMPUTED_VALUE"""),"SVK")</f>
        <v>SVK</v>
      </c>
      <c r="G17" s="37" t="str">
        <f>IFERROR(__xludf.DUMMYFUNCTION("""COMPUTED_VALUE"""),"CyS - Akadémia Petra Sagana")</f>
        <v>CyS - Akadémia Petra Sagana</v>
      </c>
      <c r="H17" s="37" t="str">
        <f>IFERROR(__xludf.DUMMYFUNCTION("""COMPUTED_VALUE"""),"KAD")</f>
        <v>KAD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88.0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)"),"10113786539")</f>
        <v>10113786539</v>
      </c>
      <c r="D18" s="37" t="str">
        <f>IFERROR(__xludf.DUMMYFUNCTION("""COMPUTED_VALUE"""),"BARTYZEL")</f>
        <v>BARTYZEL</v>
      </c>
      <c r="E18" s="37" t="str">
        <f>IFERROR(__xludf.DUMMYFUNCTION("""COMPUTED_VALUE"""),"DAWID")</f>
        <v>DAWID</v>
      </c>
      <c r="F18" s="37" t="str">
        <f>IFERROR(__xludf.DUMMYFUNCTION("""COMPUTED_VALUE"""),"POL")</f>
        <v>POL</v>
      </c>
      <c r="G18" s="37" t="str">
        <f>IFERROR(__xludf.DUMMYFUNCTION("""COMPUTED_VALUE"""),"UKS AVATAR SILESIA TEAM")</f>
        <v>UKS AVATAR SILESIA TEAM</v>
      </c>
      <c r="H18" s="37" t="str">
        <f>IFERROR(__xludf.DUMMYFUNCTION("""COMPUTED_VALUE"""),"KAD")</f>
        <v>KAD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1.0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)"),"10106240242")</f>
        <v>10106240242</v>
      </c>
      <c r="D19" s="37" t="str">
        <f>IFERROR(__xludf.DUMMYFUNCTION("""COMPUTED_VALUE"""),"Michael")</f>
        <v>Michael</v>
      </c>
      <c r="E19" s="37" t="str">
        <f>IFERROR(__xludf.DUMMYFUNCTION("""COMPUTED_VALUE"""),"Kominak")</f>
        <v>Kominak</v>
      </c>
      <c r="F19" s="37" t="str">
        <f>IFERROR(__xludf.DUMMYFUNCTION("""COMPUTED_VALUE"""),"AUT")</f>
        <v>AUT</v>
      </c>
      <c r="G19" s="37" t="str">
        <f>IFERROR(__xludf.DUMMYFUNCTION("""COMPUTED_VALUE"""),"ARBÖ ASKÖ RLM Wien")</f>
        <v>ARBÖ ASKÖ RLM Wien</v>
      </c>
      <c r="H19" s="37" t="str">
        <f>IFERROR(__xludf.DUMMYFUNCTION("""COMPUTED_VALUE"""),"KAD")</f>
        <v>KAD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18.0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)"),"10106764042")</f>
        <v>10106764042</v>
      </c>
      <c r="D20" s="37" t="str">
        <f>IFERROR(__xludf.DUMMYFUNCTION("""COMPUTED_VALUE"""),"Hladík")</f>
        <v>Hladík</v>
      </c>
      <c r="E20" s="37" t="str">
        <f>IFERROR(__xludf.DUMMYFUNCTION("""COMPUTED_VALUE"""),"František")</f>
        <v>František</v>
      </c>
      <c r="F20" s="37" t="str">
        <f>IFERROR(__xludf.DUMMYFUNCTION("""COMPUTED_VALUE"""),"CZE")</f>
        <v>CZE</v>
      </c>
      <c r="G20" s="37" t="str">
        <f>IFERROR(__xludf.DUMMYFUNCTION("""COMPUTED_VALUE"""),"BRILON RACING TEAM MB")</f>
        <v>BRILON RACING TEAM MB</v>
      </c>
      <c r="H20" s="37" t="str">
        <f>IFERROR(__xludf.DUMMYFUNCTION("""COMPUTED_VALUE"""),"KAD")</f>
        <v>KAD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41.0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)"),"10129711515")</f>
        <v>10129711515</v>
      </c>
      <c r="D21" s="37" t="str">
        <f>IFERROR(__xludf.DUMMYFUNCTION("""COMPUTED_VALUE"""),"Durdil")</f>
        <v>Durdil</v>
      </c>
      <c r="E21" s="41" t="str">
        <f>IFERROR(__xludf.DUMMYFUNCTION("""COMPUTED_VALUE"""),"Tomáš")</f>
        <v>Tomáš</v>
      </c>
      <c r="F21" s="37" t="str">
        <f>IFERROR(__xludf.DUMMYFUNCTION("""COMPUTED_VALUE"""),"CZE")</f>
        <v>CZE</v>
      </c>
      <c r="G21" s="37" t="str">
        <f>IFERROR(__xludf.DUMMYFUNCTION("""COMPUTED_VALUE"""),"DUKLA PRAHA")</f>
        <v>DUKLA PRAHA</v>
      </c>
      <c r="H21" s="37" t="str">
        <f>IFERROR(__xludf.DUMMYFUNCTION("""COMPUTED_VALUE"""),"KAD")</f>
        <v>KAD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73.0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)"),"10118295524")</f>
        <v>10118295524</v>
      </c>
      <c r="D22" s="37" t="str">
        <f>IFERROR(__xludf.DUMMYFUNCTION("""COMPUTED_VALUE"""),"Jogl")</f>
        <v>Jogl</v>
      </c>
      <c r="E22" s="37" t="str">
        <f>IFERROR(__xludf.DUMMYFUNCTION("""COMPUTED_VALUE"""),"Denis")</f>
        <v>Denis</v>
      </c>
      <c r="F22" s="37" t="str">
        <f>IFERROR(__xludf.DUMMYFUNCTION("""COMPUTED_VALUE"""),"CZE")</f>
        <v>CZE</v>
      </c>
      <c r="G22" s="37" t="str">
        <f>IFERROR(__xludf.DUMMYFUNCTION("""COMPUTED_VALUE"""),"Sport RacesCycling Team")</f>
        <v>Sport RacesCycling Team</v>
      </c>
      <c r="H22" s="37" t="str">
        <f>IFERROR(__xludf.DUMMYFUNCTION("""COMPUTED_VALUE"""),"KAD")</f>
        <v>KAD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40.0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)"),"10089250185")</f>
        <v>10089250185</v>
      </c>
      <c r="D23" s="37" t="str">
        <f>IFERROR(__xludf.DUMMYFUNCTION("""COMPUTED_VALUE"""),"Bradáč")</f>
        <v>Bradáč</v>
      </c>
      <c r="E23" s="37" t="str">
        <f>IFERROR(__xludf.DUMMYFUNCTION("""COMPUTED_VALUE"""),"Michal")</f>
        <v>Michal</v>
      </c>
      <c r="F23" s="37" t="str">
        <f>IFERROR(__xludf.DUMMYFUNCTION("""COMPUTED_VALUE"""),"CZE")</f>
        <v>CZE</v>
      </c>
      <c r="G23" s="37" t="str">
        <f>IFERROR(__xludf.DUMMYFUNCTION("""COMPUTED_VALUE"""),"DUKLA PRAHA")</f>
        <v>DUKLA PRAHA</v>
      </c>
      <c r="H23" s="37" t="str">
        <f>IFERROR(__xludf.DUMMYFUNCTION("""COMPUTED_VALUE"""),"KAD")</f>
        <v>KAD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54.0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)"),"10161341393")</f>
        <v>10161341393</v>
      </c>
      <c r="D24" s="37" t="str">
        <f>IFERROR(__xludf.DUMMYFUNCTION("""COMPUTED_VALUE"""),"Zsigmond")</f>
        <v>Zsigmond</v>
      </c>
      <c r="E24" s="37" t="str">
        <f>IFERROR(__xludf.DUMMYFUNCTION("""COMPUTED_VALUE"""),"Varga")</f>
        <v>Varga</v>
      </c>
      <c r="F24" s="37" t="str">
        <f>IFERROR(__xludf.DUMMYFUNCTION("""COMPUTED_VALUE"""),"HUN")</f>
        <v>HUN</v>
      </c>
      <c r="G24" s="37" t="str">
        <f>IFERROR(__xludf.DUMMYFUNCTION("""COMPUTED_VALUE"""),"Green Riders Cycling Team")</f>
        <v>Green Riders Cycling Team</v>
      </c>
      <c r="H24" s="37" t="str">
        <f>IFERROR(__xludf.DUMMYFUNCTION("""COMPUTED_VALUE"""),"KAD")</f>
        <v>KAD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48.0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)"),"10099189049")</f>
        <v>10099189049</v>
      </c>
      <c r="D25" s="37" t="str">
        <f>IFERROR(__xludf.DUMMYFUNCTION("""COMPUTED_VALUE"""),"Zazvonil")</f>
        <v>Zazvonil</v>
      </c>
      <c r="E25" s="37" t="str">
        <f>IFERROR(__xludf.DUMMYFUNCTION("""COMPUTED_VALUE"""),"Jáchym")</f>
        <v>Jáchym</v>
      </c>
      <c r="F25" s="37" t="str">
        <f>IFERROR(__xludf.DUMMYFUNCTION("""COMPUTED_VALUE"""),"CZE")</f>
        <v>CZE</v>
      </c>
      <c r="G25" s="37" t="str">
        <f>IFERROR(__xludf.DUMMYFUNCTION("""COMPUTED_VALUE"""),"FIEGE VELO AKADEMIE")</f>
        <v>FIEGE VELO AKADEMIE</v>
      </c>
      <c r="H25" s="37" t="str">
        <f>IFERROR(__xludf.DUMMYFUNCTION("""COMPUTED_VALUE"""),"KAD")</f>
        <v>KAD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34.0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)"),"10114281542")</f>
        <v>10114281542</v>
      </c>
      <c r="D26" s="37" t="str">
        <f>IFERROR(__xludf.DUMMYFUNCTION("""COMPUTED_VALUE"""),"FIRÁK")</f>
        <v>FIRÁK</v>
      </c>
      <c r="E26" s="37" t="str">
        <f>IFERROR(__xludf.DUMMYFUNCTION("""COMPUTED_VALUE"""),"Matej")</f>
        <v>Matej</v>
      </c>
      <c r="F26" s="37" t="str">
        <f>IFERROR(__xludf.DUMMYFUNCTION("""COMPUTED_VALUE"""),"SVK")</f>
        <v>SVK</v>
      </c>
      <c r="G26" s="37" t="str">
        <f>IFERROR(__xludf.DUMMYFUNCTION("""COMPUTED_VALUE"""),"CyS - Akadémia Petra Sagana")</f>
        <v>CyS - Akadémia Petra Sagana</v>
      </c>
      <c r="H26" s="37" t="str">
        <f>IFERROR(__xludf.DUMMYFUNCTION("""COMPUTED_VALUE"""),"KAD")</f>
        <v>KAD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32.0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)"),"10090712461")</f>
        <v>10090712461</v>
      </c>
      <c r="D27" s="37" t="str">
        <f>IFERROR(__xludf.DUMMYFUNCTION("""COMPUTED_VALUE"""),"Dušan Dário")</f>
        <v>Dušan Dário</v>
      </c>
      <c r="E27" s="37" t="str">
        <f>IFERROR(__xludf.DUMMYFUNCTION("""COMPUTED_VALUE"""),"Lukáč")</f>
        <v>Lukáč</v>
      </c>
      <c r="F27" s="37" t="str">
        <f>IFERROR(__xludf.DUMMYFUNCTION("""COMPUTED_VALUE"""),"SVK")</f>
        <v>SVK</v>
      </c>
      <c r="G27" s="37" t="str">
        <f>IFERROR(__xludf.DUMMYFUNCTION("""COMPUTED_VALUE"""),"Climberg")</f>
        <v>Climberg</v>
      </c>
      <c r="H27" s="37" t="str">
        <f>IFERROR(__xludf.DUMMYFUNCTION("""COMPUTED_VALUE"""),"KAD")</f>
        <v>KAD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61.0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)"),"10153704968")</f>
        <v>10153704968</v>
      </c>
      <c r="D28" s="37" t="str">
        <f>IFERROR(__xludf.DUMMYFUNCTION("""COMPUTED_VALUE"""),"Keclík")</f>
        <v>Keclík</v>
      </c>
      <c r="E28" s="37" t="str">
        <f>IFERROR(__xludf.DUMMYFUNCTION("""COMPUTED_VALUE"""),"Radek")</f>
        <v>Radek</v>
      </c>
      <c r="F28" s="37" t="str">
        <f>IFERROR(__xludf.DUMMYFUNCTION("""COMPUTED_VALUE"""),"CZE")</f>
        <v>CZE</v>
      </c>
      <c r="G28" s="37" t="str">
        <f>IFERROR(__xludf.DUMMYFUNCTION("""COMPUTED_VALUE"""),"MAPEI MERIDA KAŇKOVSKÝ")</f>
        <v>MAPEI MERIDA KAŇKOVSKÝ</v>
      </c>
      <c r="H28" s="37" t="str">
        <f>IFERROR(__xludf.DUMMYFUNCTION("""COMPUTED_VALUE"""),"KAD")</f>
        <v>KAD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17.0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)"),"10117896713")</f>
        <v>10117896713</v>
      </c>
      <c r="D29" s="37" t="str">
        <f>IFERROR(__xludf.DUMMYFUNCTION("""COMPUTED_VALUE"""),"Fara")</f>
        <v>Fara</v>
      </c>
      <c r="E29" s="37" t="str">
        <f>IFERROR(__xludf.DUMMYFUNCTION("""COMPUTED_VALUE"""),"Jan")</f>
        <v>Jan</v>
      </c>
      <c r="F29" s="37" t="str">
        <f>IFERROR(__xludf.DUMMYFUNCTION("""COMPUTED_VALUE"""),"CZE")</f>
        <v>CZE</v>
      </c>
      <c r="G29" s="37" t="str">
        <f>IFERROR(__xludf.DUMMYFUNCTION("""COMPUTED_VALUE"""),"BRILON RACING TEAM MB")</f>
        <v>BRILON RACING TEAM MB</v>
      </c>
      <c r="H29" s="37" t="str">
        <f>IFERROR(__xludf.DUMMYFUNCTION("""COMPUTED_VALUE"""),"KAD")</f>
        <v>KAD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65.0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)"),"10117111518")</f>
        <v>10117111518</v>
      </c>
      <c r="D30" s="37" t="str">
        <f>IFERROR(__xludf.DUMMYFUNCTION("""COMPUTED_VALUE"""),"Czaika")</f>
        <v>Czaika</v>
      </c>
      <c r="E30" s="37" t="str">
        <f>IFERROR(__xludf.DUMMYFUNCTION("""COMPUTED_VALUE"""),"Mathieu")</f>
        <v>Mathieu</v>
      </c>
      <c r="F30" s="37" t="str">
        <f>IFERROR(__xludf.DUMMYFUNCTION("""COMPUTED_VALUE"""),"GER")</f>
        <v>GER</v>
      </c>
      <c r="G30" s="37" t="str">
        <f>IFERROR(__xludf.DUMMYFUNCTION("""COMPUTED_VALUE"""),"RC ARBÖ Purgstall")</f>
        <v>RC ARBÖ Purgstall</v>
      </c>
      <c r="H30" s="37" t="str">
        <f>IFERROR(__xludf.DUMMYFUNCTION("""COMPUTED_VALUE"""),"KAD")</f>
        <v>KAD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39.0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)"),"10089251195")</f>
        <v>10089251195</v>
      </c>
      <c r="D31" s="37" t="str">
        <f>IFERROR(__xludf.DUMMYFUNCTION("""COMPUTED_VALUE"""),"Strakatý")</f>
        <v>Strakatý</v>
      </c>
      <c r="E31" s="37" t="str">
        <f>IFERROR(__xludf.DUMMYFUNCTION("""COMPUTED_VALUE"""),"Šimon")</f>
        <v>Šimon</v>
      </c>
      <c r="F31" s="37" t="str">
        <f>IFERROR(__xludf.DUMMYFUNCTION("""COMPUTED_VALUE"""),"CZE")</f>
        <v>CZE</v>
      </c>
      <c r="G31" s="37" t="str">
        <f>IFERROR(__xludf.DUMMYFUNCTION("""COMPUTED_VALUE"""),"DUKLA PRAHA")</f>
        <v>DUKLA PRAHA</v>
      </c>
      <c r="H31" s="37" t="str">
        <f>IFERROR(__xludf.DUMMYFUNCTION("""COMPUTED_VALUE"""),"KAD")</f>
        <v>KAD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64.0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)"),"101120026290")</f>
        <v>101120026290</v>
      </c>
      <c r="D32" s="37" t="str">
        <f>IFERROR(__xludf.DUMMYFUNCTION("""COMPUTED_VALUE"""),"Jindrák")</f>
        <v>Jindrák</v>
      </c>
      <c r="E32" s="37" t="str">
        <f>IFERROR(__xludf.DUMMYFUNCTION("""COMPUTED_VALUE"""),"Adam")</f>
        <v>Adam</v>
      </c>
      <c r="F32" s="37" t="str">
        <f>IFERROR(__xludf.DUMMYFUNCTION("""COMPUTED_VALUE"""),"CZE")</f>
        <v>CZE</v>
      </c>
      <c r="G32" s="37" t="str">
        <f>IFERROR(__xludf.DUMMYFUNCTION("""COMPUTED_VALUE"""),"MAPEI MERIDA KAŇKOVSKÝ")</f>
        <v>MAPEI MERIDA KAŇKOVSKÝ</v>
      </c>
      <c r="H32" s="37" t="str">
        <f>IFERROR(__xludf.DUMMYFUNCTION("""COMPUTED_VALUE"""),"KAD")</f>
        <v>KAD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69.0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)"),"10047379228")</f>
        <v>10047379228</v>
      </c>
      <c r="D33" s="37" t="str">
        <f>IFERROR(__xludf.DUMMYFUNCTION("""COMPUTED_VALUE"""),"Vančo")</f>
        <v>Vančo</v>
      </c>
      <c r="E33" s="37" t="str">
        <f>IFERROR(__xludf.DUMMYFUNCTION("""COMPUTED_VALUE"""),"Matyáš")</f>
        <v>Matyáš</v>
      </c>
      <c r="F33" s="37" t="str">
        <f>IFERROR(__xludf.DUMMYFUNCTION("""COMPUTED_VALUE"""),"SK")</f>
        <v>SK</v>
      </c>
      <c r="G33" s="37" t="str">
        <f>IFERROR(__xludf.DUMMYFUNCTION("""COMPUTED_VALUE"""),"REXONIX KOVO PRAHA")</f>
        <v>REXONIX KOVO PRAHA</v>
      </c>
      <c r="H33" s="37" t="str">
        <f>IFERROR(__xludf.DUMMYFUNCTION("""COMPUTED_VALUE"""),"KAD")</f>
        <v>KAD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91.0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)"),"10100181378")</f>
        <v>10100181378</v>
      </c>
      <c r="D34" s="37" t="str">
        <f>IFERROR(__xludf.DUMMYFUNCTION("""COMPUTED_VALUE"""),"Kraus")</f>
        <v>Kraus</v>
      </c>
      <c r="E34" s="37" t="str">
        <f>IFERROR(__xludf.DUMMYFUNCTION("""COMPUTED_VALUE"""),"Felix")</f>
        <v>Felix</v>
      </c>
      <c r="F34" s="37" t="str">
        <f>IFERROR(__xludf.DUMMYFUNCTION("""COMPUTED_VALUE"""),"AUT")</f>
        <v>AUT</v>
      </c>
      <c r="G34" s="37" t="str">
        <f>IFERROR(__xludf.DUMMYFUNCTION("""COMPUTED_VALUE"""),"URC Bikerei / VLOW Racing Team")</f>
        <v>URC Bikerei / VLOW Racing Team</v>
      </c>
      <c r="H34" s="37" t="str">
        <f>IFERROR(__xludf.DUMMYFUNCTION("""COMPUTED_VALUE"""),"KAD")</f>
        <v>KAD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71.0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)"),"10140582282")</f>
        <v>10140582282</v>
      </c>
      <c r="D35" s="37" t="str">
        <f>IFERROR(__xludf.DUMMYFUNCTION("""COMPUTED_VALUE"""),"Vančata")</f>
        <v>Vančata</v>
      </c>
      <c r="E35" s="37" t="str">
        <f>IFERROR(__xludf.DUMMYFUNCTION("""COMPUTED_VALUE"""),"Štěpán")</f>
        <v>Štěpán</v>
      </c>
      <c r="F35" s="37" t="str">
        <f>IFERROR(__xludf.DUMMYFUNCTION("""COMPUTED_VALUE"""),"CZE")</f>
        <v>CZE</v>
      </c>
      <c r="G35" s="37" t="str">
        <f>IFERROR(__xludf.DUMMYFUNCTION("""COMPUTED_VALUE"""),"SK Petřín Plzeň - cyklistika")</f>
        <v>SK Petřín Plzeň - cyklistika</v>
      </c>
      <c r="H35" s="37" t="str">
        <f>IFERROR(__xludf.DUMMYFUNCTION("""COMPUTED_VALUE"""),"KAD")</f>
        <v>KAD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7.0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)"),"10155252928")</f>
        <v>10155252928</v>
      </c>
      <c r="D36" s="37" t="str">
        <f>IFERROR(__xludf.DUMMYFUNCTION("""COMPUTED_VALUE"""),"Hlavatý")</f>
        <v>Hlavatý</v>
      </c>
      <c r="E36" s="37" t="str">
        <f>IFERROR(__xludf.DUMMYFUNCTION("""COMPUTED_VALUE"""),"Tomáš")</f>
        <v>Tomáš</v>
      </c>
      <c r="F36" s="37" t="str">
        <f>IFERROR(__xludf.DUMMYFUNCTION("""COMPUTED_VALUE"""),"CZE")</f>
        <v>CZE</v>
      </c>
      <c r="G36" s="37" t="str">
        <f>IFERROR(__xludf.DUMMYFUNCTION("""COMPUTED_VALUE"""),"BB Com Devcity")</f>
        <v>BB Com Devcity</v>
      </c>
      <c r="H36" s="37" t="str">
        <f>IFERROR(__xludf.DUMMYFUNCTION("""COMPUTED_VALUE"""),"KAD")</f>
        <v>KAD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14.0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)"),"10106818000")</f>
        <v>10106818000</v>
      </c>
      <c r="D37" s="37" t="str">
        <f>IFERROR(__xludf.DUMMYFUNCTION("""COMPUTED_VALUE"""),"Trousil")</f>
        <v>Trousil</v>
      </c>
      <c r="E37" s="37" t="str">
        <f>IFERROR(__xludf.DUMMYFUNCTION("""COMPUTED_VALUE"""),"Jakub")</f>
        <v>Jakub</v>
      </c>
      <c r="F37" s="37" t="str">
        <f>IFERROR(__xludf.DUMMYFUNCTION("""COMPUTED_VALUE"""),"CZE")</f>
        <v>CZE</v>
      </c>
      <c r="G37" s="37" t="str">
        <f>IFERROR(__xludf.DUMMYFUNCTION("""COMPUTED_VALUE"""),"BRILON RACING TEAM MB")</f>
        <v>BRILON RACING TEAM MB</v>
      </c>
      <c r="H37" s="37" t="str">
        <f>IFERROR(__xludf.DUMMYFUNCTION("""COMPUTED_VALUE"""),"KAD")</f>
        <v>KAD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19.0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)"),"10106071096")</f>
        <v>10106071096</v>
      </c>
      <c r="D38" s="37" t="str">
        <f>IFERROR(__xludf.DUMMYFUNCTION("""COMPUTED_VALUE"""),"Kohout")</f>
        <v>Kohout</v>
      </c>
      <c r="E38" s="37" t="str">
        <f>IFERROR(__xludf.DUMMYFUNCTION("""COMPUTED_VALUE"""),"Jindřich")</f>
        <v>Jindřich</v>
      </c>
      <c r="F38" s="37" t="str">
        <f>IFERROR(__xludf.DUMMYFUNCTION("""COMPUTED_VALUE"""),"CZE")</f>
        <v>CZE</v>
      </c>
      <c r="G38" s="37" t="str">
        <f>IFERROR(__xludf.DUMMYFUNCTION("""COMPUTED_VALUE"""),"BRILON RACING TEAM MB")</f>
        <v>BRILON RACING TEAM MB</v>
      </c>
      <c r="H38" s="37" t="str">
        <f>IFERROR(__xludf.DUMMYFUNCTION("""COMPUTED_VALUE"""),"KAD")</f>
        <v>KAD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80.0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)"),"10167030041")</f>
        <v>10167030041</v>
      </c>
      <c r="D39" s="37" t="str">
        <f>IFERROR(__xludf.DUMMYFUNCTION("""COMPUTED_VALUE"""),"SUCHÝ")</f>
        <v>SUCHÝ</v>
      </c>
      <c r="E39" s="37" t="str">
        <f>IFERROR(__xludf.DUMMYFUNCTION("""COMPUTED_VALUE"""),"Jan")</f>
        <v>Jan</v>
      </c>
      <c r="F39" s="37" t="str">
        <f>IFERROR(__xludf.DUMMYFUNCTION("""COMPUTED_VALUE"""),"CZE")</f>
        <v>CZE</v>
      </c>
      <c r="G39" s="37" t="str">
        <f>IFERROR(__xludf.DUMMYFUNCTION("""COMPUTED_VALUE"""),"TJ FAVORIT BRNO")</f>
        <v>TJ FAVORIT BRNO</v>
      </c>
      <c r="H39" s="37" t="str">
        <f>IFERROR(__xludf.DUMMYFUNCTION("""COMPUTED_VALUE"""),"KAD")</f>
        <v>KAD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>
        <v>26.0</v>
      </c>
      <c r="B40" s="35">
        <v>92.0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)"),"10084842850")</f>
        <v>10084842850</v>
      </c>
      <c r="D40" s="37" t="str">
        <f>IFERROR(__xludf.DUMMYFUNCTION("""COMPUTED_VALUE"""),"Steiner")</f>
        <v>Steiner</v>
      </c>
      <c r="E40" s="37" t="str">
        <f>IFERROR(__xludf.DUMMYFUNCTION("""COMPUTED_VALUE"""),"Bence György")</f>
        <v>Bence György</v>
      </c>
      <c r="F40" s="37" t="str">
        <f>IFERROR(__xludf.DUMMYFUNCTION("""COMPUTED_VALUE"""),"HUN")</f>
        <v>HUN</v>
      </c>
      <c r="G40" s="37" t="str">
        <f>IFERROR(__xludf.DUMMYFUNCTION("""COMPUTED_VALUE"""),"BEXS Team")</f>
        <v>BEXS Team</v>
      </c>
      <c r="H40" s="37" t="str">
        <f>IFERROR(__xludf.DUMMYFUNCTION("""COMPUTED_VALUE"""),"KAD")</f>
        <v>KAD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>
        <v>27.0</v>
      </c>
      <c r="B41" s="35">
        <v>45.0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)"),"10047377612")</f>
        <v>10047377612</v>
      </c>
      <c r="D41" s="37" t="str">
        <f>IFERROR(__xludf.DUMMYFUNCTION("""COMPUTED_VALUE"""),"Dlouhý")</f>
        <v>Dlouhý</v>
      </c>
      <c r="E41" s="37" t="str">
        <f>IFERROR(__xludf.DUMMYFUNCTION("""COMPUTED_VALUE"""),"Jakub")</f>
        <v>Jakub</v>
      </c>
      <c r="F41" s="37" t="str">
        <f>IFERROR(__xludf.DUMMYFUNCTION("""COMPUTED_VALUE"""),"CZE")</f>
        <v>CZE</v>
      </c>
      <c r="G41" s="37" t="str">
        <f>IFERROR(__xludf.DUMMYFUNCTION("""COMPUTED_VALUE"""),"FIEGE VELO AKADEMIE")</f>
        <v>FIEGE VELO AKADEMIE</v>
      </c>
      <c r="H41" s="37" t="str">
        <f>IFERROR(__xludf.DUMMYFUNCTION("""COMPUTED_VALUE"""),"KAD")</f>
        <v>KAD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>
        <v>28.0</v>
      </c>
      <c r="B42" s="35">
        <v>6.0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)"),"10109743255")</f>
        <v>10109743255</v>
      </c>
      <c r="D42" s="37" t="str">
        <f>IFERROR(__xludf.DUMMYFUNCTION("""COMPUTED_VALUE"""),"Březina")</f>
        <v>Březina</v>
      </c>
      <c r="E42" s="37" t="str">
        <f>IFERROR(__xludf.DUMMYFUNCTION("""COMPUTED_VALUE"""),"Adam")</f>
        <v>Adam</v>
      </c>
      <c r="F42" s="37" t="str">
        <f>IFERROR(__xludf.DUMMYFUNCTION("""COMPUTED_VALUE"""),"CZE")</f>
        <v>CZE</v>
      </c>
      <c r="G42" s="37" t="str">
        <f>IFERROR(__xludf.DUMMYFUNCTION("""COMPUTED_VALUE"""),"BB Com Devcity")</f>
        <v>BB Com Devcity</v>
      </c>
      <c r="H42" s="37" t="str">
        <f>IFERROR(__xludf.DUMMYFUNCTION("""COMPUTED_VALUE"""),"KAD")</f>
        <v>KAD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>
        <v>29.0</v>
      </c>
      <c r="B43" s="35">
        <v>63.0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)"),"10105621563")</f>
        <v>10105621563</v>
      </c>
      <c r="D43" s="37" t="str">
        <f>IFERROR(__xludf.DUMMYFUNCTION("""COMPUTED_VALUE"""),"Míra")</f>
        <v>Míra</v>
      </c>
      <c r="E43" s="37" t="str">
        <f>IFERROR(__xludf.DUMMYFUNCTION("""COMPUTED_VALUE"""),"Adam")</f>
        <v>Adam</v>
      </c>
      <c r="F43" s="37" t="str">
        <f>IFERROR(__xludf.DUMMYFUNCTION("""COMPUTED_VALUE"""),"CZE")</f>
        <v>CZE</v>
      </c>
      <c r="G43" s="37" t="str">
        <f>IFERROR(__xludf.DUMMYFUNCTION("""COMPUTED_VALUE"""),"MAPEI MERIDA KAŇKOVSKÝ")</f>
        <v>MAPEI MERIDA KAŇKOVSKÝ</v>
      </c>
      <c r="H43" s="37" t="str">
        <f>IFERROR(__xludf.DUMMYFUNCTION("""COMPUTED_VALUE"""),"KAD")</f>
        <v>KAD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>
        <v>30.0</v>
      </c>
      <c r="B44" s="35">
        <v>27.0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)"),"10092220409")</f>
        <v>10092220409</v>
      </c>
      <c r="D44" s="37" t="str">
        <f>IFERROR(__xludf.DUMMYFUNCTION("""COMPUTED_VALUE"""),"PESZEKI")</f>
        <v>PESZEKI</v>
      </c>
      <c r="E44" s="37" t="str">
        <f>IFERROR(__xludf.DUMMYFUNCTION("""COMPUTED_VALUE"""),"Benjamín")</f>
        <v>Benjamín</v>
      </c>
      <c r="F44" s="37" t="str">
        <f>IFERROR(__xludf.DUMMYFUNCTION("""COMPUTED_VALUE"""),"SVK")</f>
        <v>SVK</v>
      </c>
      <c r="G44" s="37" t="str">
        <f>IFERROR(__xludf.DUMMYFUNCTION("""COMPUTED_VALUE"""),"CK EPIC Dohňany")</f>
        <v>CK EPIC Dohňany</v>
      </c>
      <c r="H44" s="37" t="str">
        <f>IFERROR(__xludf.DUMMYFUNCTION("""COMPUTED_VALUE"""),"KAD")</f>
        <v>KAD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>
        <v>31.0</v>
      </c>
      <c r="B45" s="35">
        <v>90.0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)"),"10122242212")</f>
        <v>10122242212</v>
      </c>
      <c r="D45" s="37" t="str">
        <f>IFERROR(__xludf.DUMMYFUNCTION("""COMPUTED_VALUE"""),"BLOKESZ")</f>
        <v>BLOKESZ</v>
      </c>
      <c r="E45" s="37" t="str">
        <f>IFERROR(__xludf.DUMMYFUNCTION("""COMPUTED_VALUE"""),"BARTOSZ")</f>
        <v>BARTOSZ</v>
      </c>
      <c r="F45" s="37" t="str">
        <f>IFERROR(__xludf.DUMMYFUNCTION("""COMPUTED_VALUE"""),"POL")</f>
        <v>POL</v>
      </c>
      <c r="G45" s="37" t="str">
        <f>IFERROR(__xludf.DUMMYFUNCTION("""COMPUTED_VALUE"""),"UKS AVATAR SILESIA TEAM")</f>
        <v>UKS AVATAR SILESIA TEAM</v>
      </c>
      <c r="H45" s="37" t="str">
        <f>IFERROR(__xludf.DUMMYFUNCTION("""COMPUTED_VALUE"""),"KAD")</f>
        <v>KAD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>
        <v>32.0</v>
      </c>
      <c r="B46" s="35">
        <v>87.0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)"),"10128197204")</f>
        <v>10128197204</v>
      </c>
      <c r="D46" s="37" t="str">
        <f>IFERROR(__xludf.DUMMYFUNCTION("""COMPUTED_VALUE"""),"Kelbl")</f>
        <v>Kelbl</v>
      </c>
      <c r="E46" s="37" t="str">
        <f>IFERROR(__xludf.DUMMYFUNCTION("""COMPUTED_VALUE"""),"Tobiáš")</f>
        <v>Tobiáš</v>
      </c>
      <c r="F46" s="37" t="str">
        <f>IFERROR(__xludf.DUMMYFUNCTION("""COMPUTED_VALUE"""),"CZE")</f>
        <v>CZE</v>
      </c>
      <c r="G46" s="37" t="str">
        <f>IFERROR(__xludf.DUMMYFUNCTION("""COMPUTED_VALUE"""),"TUFO PARDUS Prostějov")</f>
        <v>TUFO PARDUS Prostějov</v>
      </c>
      <c r="H46" s="37" t="str">
        <f>IFERROR(__xludf.DUMMYFUNCTION("""COMPUTED_VALUE"""),"KAD")</f>
        <v>KAD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>
        <v>33.0</v>
      </c>
      <c r="B47" s="35">
        <v>60.0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)"),"10106812037")</f>
        <v>10106812037</v>
      </c>
      <c r="D47" s="37" t="str">
        <f>IFERROR(__xludf.DUMMYFUNCTION("""COMPUTED_VALUE"""),"NEJEZCHLEB")</f>
        <v>NEJEZCHLEB</v>
      </c>
      <c r="E47" s="37" t="str">
        <f>IFERROR(__xludf.DUMMYFUNCTION("""COMPUTED_VALUE"""),"Adam")</f>
        <v>Adam</v>
      </c>
      <c r="F47" s="37" t="str">
        <f>IFERROR(__xludf.DUMMYFUNCTION("""COMPUTED_VALUE"""),"CZE")</f>
        <v>CZE</v>
      </c>
      <c r="G47" s="37" t="str">
        <f>IFERROR(__xludf.DUMMYFUNCTION("""COMPUTED_VALUE"""),"MAPEI MERIDA KAŃKOVSKÝ")</f>
        <v>MAPEI MERIDA KAŃKOVSKÝ</v>
      </c>
      <c r="H47" s="37" t="str">
        <f>IFERROR(__xludf.DUMMYFUNCTION("""COMPUTED_VALUE"""),"KAD")</f>
        <v>KAD</v>
      </c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>
        <v>34.0</v>
      </c>
      <c r="B48" s="35">
        <v>77.0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)"),"10149515780")</f>
        <v>10149515780</v>
      </c>
      <c r="D48" s="37" t="str">
        <f>IFERROR(__xludf.DUMMYFUNCTION("""COMPUTED_VALUE"""),"Kabrda")</f>
        <v>Kabrda</v>
      </c>
      <c r="E48" s="37" t="str">
        <f>IFERROR(__xludf.DUMMYFUNCTION("""COMPUTED_VALUE"""),"Pavel")</f>
        <v>Pavel</v>
      </c>
      <c r="F48" s="37" t="str">
        <f>IFERROR(__xludf.DUMMYFUNCTION("""COMPUTED_VALUE"""),"CZE")</f>
        <v>CZE</v>
      </c>
      <c r="G48" s="37" t="str">
        <f>IFERROR(__xludf.DUMMYFUNCTION("""COMPUTED_VALUE"""),"TARGET 29 MTB team")</f>
        <v>TARGET 29 MTB team</v>
      </c>
      <c r="H48" s="37" t="str">
        <f>IFERROR(__xludf.DUMMYFUNCTION("""COMPUTED_VALUE"""),"KAD")</f>
        <v>KAD</v>
      </c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>
        <v>35.0</v>
      </c>
      <c r="B49" s="35">
        <v>42.0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)"),"10127651677")</f>
        <v>10127651677</v>
      </c>
      <c r="D49" s="37" t="str">
        <f>IFERROR(__xludf.DUMMYFUNCTION("""COMPUTED_VALUE"""),"Knotek")</f>
        <v>Knotek</v>
      </c>
      <c r="E49" s="37" t="str">
        <f>IFERROR(__xludf.DUMMYFUNCTION("""COMPUTED_VALUE"""),"Adam")</f>
        <v>Adam</v>
      </c>
      <c r="F49" s="37" t="str">
        <f>IFERROR(__xludf.DUMMYFUNCTION("""COMPUTED_VALUE"""),"CZE")</f>
        <v>CZE</v>
      </c>
      <c r="G49" s="37" t="str">
        <f>IFERROR(__xludf.DUMMYFUNCTION("""COMPUTED_VALUE"""),"DUKLA PRAHA")</f>
        <v>DUKLA PRAHA</v>
      </c>
      <c r="H49" s="37" t="str">
        <f>IFERROR(__xludf.DUMMYFUNCTION("""COMPUTED_VALUE"""),"KAD")</f>
        <v>KAD</v>
      </c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>
        <v>36.0</v>
      </c>
      <c r="B50" s="35">
        <v>3.0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)"),"10114553748")</f>
        <v>10114553748</v>
      </c>
      <c r="D50" s="37" t="str">
        <f>IFERROR(__xludf.DUMMYFUNCTION("""COMPUTED_VALUE"""),"Gustav")</f>
        <v>Gustav</v>
      </c>
      <c r="E50" s="37" t="str">
        <f>IFERROR(__xludf.DUMMYFUNCTION("""COMPUTED_VALUE"""),"Barsuglia")</f>
        <v>Barsuglia</v>
      </c>
      <c r="F50" s="37" t="str">
        <f>IFERROR(__xludf.DUMMYFUNCTION("""COMPUTED_VALUE"""),"AUT")</f>
        <v>AUT</v>
      </c>
      <c r="G50" s="37" t="str">
        <f>IFERROR(__xludf.DUMMYFUNCTION("""COMPUTED_VALUE"""),"ARBÖ ASKÖ RLM Wien")</f>
        <v>ARBÖ ASKÖ RLM Wien</v>
      </c>
      <c r="H50" s="37" t="str">
        <f>IFERROR(__xludf.DUMMYFUNCTION("""COMPUTED_VALUE"""),"KAD")</f>
        <v>KAD</v>
      </c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>
        <v>37.0</v>
      </c>
      <c r="B51" s="35">
        <v>26.0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)"),"10090327087")</f>
        <v>10090327087</v>
      </c>
      <c r="D51" s="37" t="str">
        <f>IFERROR(__xludf.DUMMYFUNCTION("""COMPUTED_VALUE"""),"SAMSON")</f>
        <v>SAMSON</v>
      </c>
      <c r="E51" s="37" t="str">
        <f>IFERROR(__xludf.DUMMYFUNCTION("""COMPUTED_VALUE"""),"Martin")</f>
        <v>Martin</v>
      </c>
      <c r="F51" s="37" t="str">
        <f>IFERROR(__xludf.DUMMYFUNCTION("""COMPUTED_VALUE"""),"SVK")</f>
        <v>SVK</v>
      </c>
      <c r="G51" s="37" t="str">
        <f>IFERROR(__xludf.DUMMYFUNCTION("""COMPUTED_VALUE"""),"CK EPIC Dohňany")</f>
        <v>CK EPIC Dohňany</v>
      </c>
      <c r="H51" s="37" t="str">
        <f>IFERROR(__xludf.DUMMYFUNCTION("""COMPUTED_VALUE"""),"KAD")</f>
        <v>KAD</v>
      </c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>
        <v>38.0</v>
      </c>
      <c r="B52" s="45">
        <v>36.0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)"),"10091868680")</f>
        <v>10091868680</v>
      </c>
      <c r="D52" s="44" t="str">
        <f>IFERROR(__xludf.DUMMYFUNCTION("""COMPUTED_VALUE"""),"ŠIDELSKÝ")</f>
        <v>ŠIDELSKÝ</v>
      </c>
      <c r="E52" s="44" t="str">
        <f>IFERROR(__xludf.DUMMYFUNCTION("""COMPUTED_VALUE"""),"Štefan")</f>
        <v>Štefan</v>
      </c>
      <c r="F52" s="44" t="str">
        <f>IFERROR(__xludf.DUMMYFUNCTION("""COMPUTED_VALUE"""),"SVK")</f>
        <v>SVK</v>
      </c>
      <c r="G52" s="44" t="str">
        <f>IFERROR(__xludf.DUMMYFUNCTION("""COMPUTED_VALUE"""),"CyS - Akadémia Petra Sagana")</f>
        <v>CyS - Akadémia Petra Sagana</v>
      </c>
      <c r="H52" s="44" t="str">
        <f>IFERROR(__xludf.DUMMYFUNCTION("""COMPUTED_VALUE"""),"KAD")</f>
        <v>KAD</v>
      </c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>
        <v>39.0</v>
      </c>
      <c r="B53" s="45">
        <v>72.0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)"),"10118282386")</f>
        <v>10118282386</v>
      </c>
      <c r="D53" s="44" t="str">
        <f>IFERROR(__xludf.DUMMYFUNCTION("""COMPUTED_VALUE"""),"Dobrý")</f>
        <v>Dobrý</v>
      </c>
      <c r="E53" s="44" t="str">
        <f>IFERROR(__xludf.DUMMYFUNCTION("""COMPUTED_VALUE"""),"Radim")</f>
        <v>Radim</v>
      </c>
      <c r="F53" s="44" t="str">
        <f>IFERROR(__xludf.DUMMYFUNCTION("""COMPUTED_VALUE"""),"CZE")</f>
        <v>CZE</v>
      </c>
      <c r="G53" s="44" t="str">
        <f>IFERROR(__xludf.DUMMYFUNCTION("""COMPUTED_VALUE"""),"Sport RacesCycling Team")</f>
        <v>Sport RacesCycling Team</v>
      </c>
      <c r="H53" s="44" t="str">
        <f>IFERROR(__xludf.DUMMYFUNCTION("""COMPUTED_VALUE"""),"KAD")</f>
        <v>KAD</v>
      </c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>
        <v>40.0</v>
      </c>
      <c r="B54" s="45">
        <v>33.0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)"),"10082403302")</f>
        <v>10082403302</v>
      </c>
      <c r="D54" s="44" t="str">
        <f>IFERROR(__xludf.DUMMYFUNCTION("""COMPUTED_VALUE"""),"Samák")</f>
        <v>Samák</v>
      </c>
      <c r="E54" s="44" t="str">
        <f>IFERROR(__xludf.DUMMYFUNCTION("""COMPUTED_VALUE"""),"Oliver")</f>
        <v>Oliver</v>
      </c>
      <c r="F54" s="44" t="str">
        <f>IFERROR(__xludf.DUMMYFUNCTION("""COMPUTED_VALUE"""),"SVK")</f>
        <v>SVK</v>
      </c>
      <c r="G54" s="44" t="str">
        <f>IFERROR(__xludf.DUMMYFUNCTION("""COMPUTED_VALUE"""),"Cycling Academy Bartislava")</f>
        <v>Cycling Academy Bartislava</v>
      </c>
      <c r="H54" s="44" t="str">
        <f>IFERROR(__xludf.DUMMYFUNCTION("""COMPUTED_VALUE"""),"KAD")</f>
        <v>KAD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35">
        <v>41.0</v>
      </c>
      <c r="B55" s="45">
        <v>28.0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)"),"10117285209")</f>
        <v>10117285209</v>
      </c>
      <c r="D55" s="44" t="str">
        <f>IFERROR(__xludf.DUMMYFUNCTION("""COMPUTED_VALUE"""),"BEHAN")</f>
        <v>BEHAN</v>
      </c>
      <c r="E55" s="44" t="str">
        <f>IFERROR(__xludf.DUMMYFUNCTION("""COMPUTED_VALUE"""),"Matúš")</f>
        <v>Matúš</v>
      </c>
      <c r="F55" s="44" t="str">
        <f>IFERROR(__xludf.DUMMYFUNCTION("""COMPUTED_VALUE"""),"SVK")</f>
        <v>SVK</v>
      </c>
      <c r="G55" s="44" t="str">
        <f>IFERROR(__xludf.DUMMYFUNCTION("""COMPUTED_VALUE"""),"CK EPIC Dohňany")</f>
        <v>CK EPIC Dohňany</v>
      </c>
      <c r="H55" s="44" t="str">
        <f>IFERROR(__xludf.DUMMYFUNCTION("""COMPUTED_VALUE"""),"KAD")</f>
        <v>KAD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35">
        <v>42.0</v>
      </c>
      <c r="B56" s="45">
        <v>94.0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)"),"10091297693")</f>
        <v>10091297693</v>
      </c>
      <c r="D56" s="44" t="str">
        <f>IFERROR(__xludf.DUMMYFUNCTION("""COMPUTED_VALUE"""),"Mackanič")</f>
        <v>Mackanič</v>
      </c>
      <c r="E56" s="44" t="str">
        <f>IFERROR(__xludf.DUMMYFUNCTION("""COMPUTED_VALUE"""),"Marko")</f>
        <v>Marko</v>
      </c>
      <c r="F56" s="44" t="str">
        <f>IFERROR(__xludf.DUMMYFUNCTION("""COMPUTED_VALUE"""),"SVK")</f>
        <v>SVK</v>
      </c>
      <c r="G56" s="44" t="str">
        <f>IFERROR(__xludf.DUMMYFUNCTION("""COMPUTED_VALUE"""),"Cycling Academy Trenčín")</f>
        <v>Cycling Academy Trenčín</v>
      </c>
      <c r="H56" s="44" t="str">
        <f>IFERROR(__xludf.DUMMYFUNCTION("""COMPUTED_VALUE"""),"KAD")</f>
        <v>KAD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35">
        <v>43.0</v>
      </c>
      <c r="B57" s="45">
        <v>62.0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)"),"10155265254")</f>
        <v>10155265254</v>
      </c>
      <c r="D57" s="44" t="str">
        <f>IFERROR(__xludf.DUMMYFUNCTION("""COMPUTED_VALUE"""),"Chmela")</f>
        <v>Chmela</v>
      </c>
      <c r="E57" s="44" t="str">
        <f>IFERROR(__xludf.DUMMYFUNCTION("""COMPUTED_VALUE"""),"David")</f>
        <v>David</v>
      </c>
      <c r="F57" s="44" t="str">
        <f>IFERROR(__xludf.DUMMYFUNCTION("""COMPUTED_VALUE"""),"CZE")</f>
        <v>CZE</v>
      </c>
      <c r="G57" s="44" t="str">
        <f>IFERROR(__xludf.DUMMYFUNCTION("""COMPUTED_VALUE"""),"MAPEI MERIDA KAŇKOVSKÝ")</f>
        <v>MAPEI MERIDA KAŇKOVSKÝ</v>
      </c>
      <c r="H57" s="44" t="str">
        <f>IFERROR(__xludf.DUMMYFUNCTION("""COMPUTED_VALUE"""),"KAD")</f>
        <v>KAD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35">
        <v>44.0</v>
      </c>
      <c r="B58" s="45">
        <v>16.0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)"),"10109769022")</f>
        <v>10109769022</v>
      </c>
      <c r="D58" s="44" t="str">
        <f>IFERROR(__xludf.DUMMYFUNCTION("""COMPUTED_VALUE"""),"Meier")</f>
        <v>Meier</v>
      </c>
      <c r="E58" s="44" t="str">
        <f>IFERROR(__xludf.DUMMYFUNCTION("""COMPUTED_VALUE"""),"Václav")</f>
        <v>Václav</v>
      </c>
      <c r="F58" s="44" t="str">
        <f>IFERROR(__xludf.DUMMYFUNCTION("""COMPUTED_VALUE"""),"CZE")</f>
        <v>CZE</v>
      </c>
      <c r="G58" s="44" t="str">
        <f>IFERROR(__xludf.DUMMYFUNCTION("""COMPUTED_VALUE"""),"BRILON RACING TEAM MB")</f>
        <v>BRILON RACING TEAM MB</v>
      </c>
      <c r="H58" s="44" t="str">
        <f>IFERROR(__xludf.DUMMYFUNCTION("""COMPUTED_VALUE"""),"KAD")</f>
        <v>KAD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35">
        <v>45.0</v>
      </c>
      <c r="B59" s="45">
        <v>68.0</v>
      </c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)"),"10168450786")</f>
        <v>10168450786</v>
      </c>
      <c r="D59" s="44" t="str">
        <f>IFERROR(__xludf.DUMMYFUNCTION("""COMPUTED_VALUE"""),"Plucar")</f>
        <v>Plucar</v>
      </c>
      <c r="E59" s="44" t="str">
        <f>IFERROR(__xludf.DUMMYFUNCTION("""COMPUTED_VALUE"""),"Vojtěch")</f>
        <v>Vojtěch</v>
      </c>
      <c r="F59" s="44" t="str">
        <f>IFERROR(__xludf.DUMMYFUNCTION("""COMPUTED_VALUE"""),"CZE")</f>
        <v>CZE</v>
      </c>
      <c r="G59" s="44" t="str">
        <f>IFERROR(__xludf.DUMMYFUNCTION("""COMPUTED_VALUE"""),"REXONIX KOVO PRAHA")</f>
        <v>REXONIX KOVO PRAHA</v>
      </c>
      <c r="H59" s="44" t="str">
        <f>IFERROR(__xludf.DUMMYFUNCTION("""COMPUTED_VALUE"""),"KAD")</f>
        <v>KAD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35">
        <v>46.0</v>
      </c>
      <c r="B60" s="45">
        <v>79.0</v>
      </c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)"),"10140464266")</f>
        <v>10140464266</v>
      </c>
      <c r="D60" s="44" t="str">
        <f>IFERROR(__xludf.DUMMYFUNCTION("""COMPUTED_VALUE"""),"HADFIELD")</f>
        <v>HADFIELD</v>
      </c>
      <c r="E60" s="44" t="str">
        <f>IFERROR(__xludf.DUMMYFUNCTION("""COMPUTED_VALUE"""),"Tomáš")</f>
        <v>Tomáš</v>
      </c>
      <c r="F60" s="44" t="str">
        <f>IFERROR(__xludf.DUMMYFUNCTION("""COMPUTED_VALUE"""),"CZE")</f>
        <v>CZE</v>
      </c>
      <c r="G60" s="44" t="str">
        <f>IFERROR(__xludf.DUMMYFUNCTION("""COMPUTED_VALUE"""),"TJ FAVORIT BRNO")</f>
        <v>TJ FAVORIT BRNO</v>
      </c>
      <c r="H60" s="44" t="str">
        <f>IFERROR(__xludf.DUMMYFUNCTION("""COMPUTED_VALUE"""),"KAD")</f>
        <v>KAD</v>
      </c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35">
        <v>47.0</v>
      </c>
      <c r="B61" s="45">
        <v>31.0</v>
      </c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)"),"10067813690")</f>
        <v>10067813690</v>
      </c>
      <c r="D61" s="44" t="str">
        <f>IFERROR(__xludf.DUMMYFUNCTION("""COMPUTED_VALUE"""),"Ondrej")</f>
        <v>Ondrej</v>
      </c>
      <c r="E61" s="44" t="str">
        <f>IFERROR(__xludf.DUMMYFUNCTION("""COMPUTED_VALUE"""),"Vojtíšek")</f>
        <v>Vojtíšek</v>
      </c>
      <c r="F61" s="44" t="str">
        <f>IFERROR(__xludf.DUMMYFUNCTION("""COMPUTED_VALUE"""),"SVK")</f>
        <v>SVK</v>
      </c>
      <c r="G61" s="44" t="str">
        <f>IFERROR(__xludf.DUMMYFUNCTION("""COMPUTED_VALUE"""),"Climberg")</f>
        <v>Climberg</v>
      </c>
      <c r="H61" s="44" t="str">
        <f>IFERROR(__xludf.DUMMYFUNCTION("""COMPUTED_VALUE"""),"KAD")</f>
        <v>KAD</v>
      </c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35">
        <v>48.0</v>
      </c>
      <c r="B62" s="45">
        <v>29.0</v>
      </c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)"),"10116058359")</f>
        <v>10116058359</v>
      </c>
      <c r="D62" s="44" t="str">
        <f>IFERROR(__xludf.DUMMYFUNCTION("""COMPUTED_VALUE"""),"Boledovič")</f>
        <v>Boledovič</v>
      </c>
      <c r="E62" s="44" t="str">
        <f>IFERROR(__xludf.DUMMYFUNCTION("""COMPUTED_VALUE"""),"Juraj")</f>
        <v>Juraj</v>
      </c>
      <c r="F62" s="44" t="str">
        <f>IFERROR(__xludf.DUMMYFUNCTION("""COMPUTED_VALUE"""),"SVK")</f>
        <v>SVK</v>
      </c>
      <c r="G62" s="44" t="str">
        <f>IFERROR(__xludf.DUMMYFUNCTION("""COMPUTED_VALUE"""),"CK Olympik Trnava")</f>
        <v>CK Olympik Trnava</v>
      </c>
      <c r="H62" s="44" t="str">
        <f>IFERROR(__xludf.DUMMYFUNCTION("""COMPUTED_VALUE"""),"KAD")</f>
        <v>KAD</v>
      </c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35">
        <v>49.0</v>
      </c>
      <c r="B63" s="45">
        <v>23.0</v>
      </c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)"),"10112046401")</f>
        <v>10112046401</v>
      </c>
      <c r="D63" s="44" t="str">
        <f>IFERROR(__xludf.DUMMYFUNCTION("""COMPUTED_VALUE"""),"Dvořák")</f>
        <v>Dvořák</v>
      </c>
      <c r="E63" s="44" t="str">
        <f>IFERROR(__xludf.DUMMYFUNCTION("""COMPUTED_VALUE"""),"Šimon")</f>
        <v>Šimon</v>
      </c>
      <c r="F63" s="44" t="str">
        <f>IFERROR(__xludf.DUMMYFUNCTION("""COMPUTED_VALUE"""),"CZE")</f>
        <v>CZE</v>
      </c>
      <c r="G63" s="44" t="str">
        <f>IFERROR(__xludf.DUMMYFUNCTION("""COMPUTED_VALUE"""),"CK Dacom Pharma Kyjov")</f>
        <v>CK Dacom Pharma Kyjov</v>
      </c>
      <c r="H63" s="44" t="str">
        <f>IFERROR(__xludf.DUMMYFUNCTION("""COMPUTED_VALUE"""),"KAD")</f>
        <v>KAD</v>
      </c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35">
        <v>50.0</v>
      </c>
      <c r="B64" s="45">
        <v>89.0</v>
      </c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)"),"10133708420")</f>
        <v>10133708420</v>
      </c>
      <c r="D64" s="44" t="str">
        <f>IFERROR(__xludf.DUMMYFUNCTION("""COMPUTED_VALUE"""),"MYSZOR")</f>
        <v>MYSZOR</v>
      </c>
      <c r="E64" s="44" t="str">
        <f>IFERROR(__xludf.DUMMYFUNCTION("""COMPUTED_VALUE"""),"MATEUSZ")</f>
        <v>MATEUSZ</v>
      </c>
      <c r="F64" s="44" t="str">
        <f>IFERROR(__xludf.DUMMYFUNCTION("""COMPUTED_VALUE"""),"POL")</f>
        <v>POL</v>
      </c>
      <c r="G64" s="44" t="str">
        <f>IFERROR(__xludf.DUMMYFUNCTION("""COMPUTED_VALUE"""),"UKS AVATAR SILESIA TEAM")</f>
        <v>UKS AVATAR SILESIA TEAM</v>
      </c>
      <c r="H64" s="44" t="str">
        <f>IFERROR(__xludf.DUMMYFUNCTION("""COMPUTED_VALUE"""),"KAD")</f>
        <v>KAD</v>
      </c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35">
        <v>51.0</v>
      </c>
      <c r="B65" s="45">
        <v>11.0</v>
      </c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)"),"10127658953")</f>
        <v>10127658953</v>
      </c>
      <c r="D65" s="44" t="str">
        <f>IFERROR(__xludf.DUMMYFUNCTION("""COMPUTED_VALUE"""),"Dresler")</f>
        <v>Dresler</v>
      </c>
      <c r="E65" s="44" t="str">
        <f>IFERROR(__xludf.DUMMYFUNCTION("""COMPUTED_VALUE"""),"Richard")</f>
        <v>Richard</v>
      </c>
      <c r="F65" s="44" t="str">
        <f>IFERROR(__xludf.DUMMYFUNCTION("""COMPUTED_VALUE"""),"CZE")</f>
        <v>CZE</v>
      </c>
      <c r="G65" s="44" t="str">
        <f>IFERROR(__xludf.DUMMYFUNCTION("""COMPUTED_VALUE"""),"BIKE PRO RACING")</f>
        <v>BIKE PRO RACING</v>
      </c>
      <c r="H65" s="44" t="str">
        <f>IFERROR(__xludf.DUMMYFUNCTION("""COMPUTED_VALUE"""),"KAD")</f>
        <v>KAD</v>
      </c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35">
        <v>52.0</v>
      </c>
      <c r="B66" s="45">
        <v>58.0</v>
      </c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)"),"10156687417")</f>
        <v>10156687417</v>
      </c>
      <c r="D66" s="44" t="str">
        <f>IFERROR(__xludf.DUMMYFUNCTION("""COMPUTED_VALUE"""),"Řezka")</f>
        <v>Řezka</v>
      </c>
      <c r="E66" s="44" t="str">
        <f>IFERROR(__xludf.DUMMYFUNCTION("""COMPUTED_VALUE"""),"Václav")</f>
        <v>Václav</v>
      </c>
      <c r="F66" s="44" t="str">
        <f>IFERROR(__xludf.DUMMYFUNCTION("""COMPUTED_VALUE"""),"CZE")</f>
        <v>CZE</v>
      </c>
      <c r="G66" s="44" t="str">
        <f>IFERROR(__xludf.DUMMYFUNCTION("""COMPUTED_VALUE"""),"LAWI Junior team")</f>
        <v>LAWI Junior team</v>
      </c>
      <c r="H66" s="44" t="str">
        <f>IFERROR(__xludf.DUMMYFUNCTION("""COMPUTED_VALUE"""),"KAD")</f>
        <v>KAD</v>
      </c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35">
        <v>53.0</v>
      </c>
      <c r="B67" s="45">
        <v>74.0</v>
      </c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)"),"10114183532")</f>
        <v>10114183532</v>
      </c>
      <c r="D67" s="44" t="str">
        <f>IFERROR(__xludf.DUMMYFUNCTION("""COMPUTED_VALUE"""),"Merle")</f>
        <v>Merle</v>
      </c>
      <c r="E67" s="44" t="str">
        <f>IFERROR(__xludf.DUMMYFUNCTION("""COMPUTED_VALUE"""),"Šimon")</f>
        <v>Šimon</v>
      </c>
      <c r="F67" s="44" t="str">
        <f>IFERROR(__xludf.DUMMYFUNCTION("""COMPUTED_VALUE"""),"CZE")</f>
        <v>CZE</v>
      </c>
      <c r="G67" s="44" t="str">
        <f>IFERROR(__xludf.DUMMYFUNCTION("""COMPUTED_VALUE"""),"SportRaces Cycling Team")</f>
        <v>SportRaces Cycling Team</v>
      </c>
      <c r="H67" s="44" t="str">
        <f>IFERROR(__xludf.DUMMYFUNCTION("""COMPUTED_VALUE"""),"KAD")</f>
        <v>KAD</v>
      </c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35">
        <v>54.0</v>
      </c>
      <c r="B68" s="45">
        <v>67.0</v>
      </c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)"),"10109919269")</f>
        <v>10109919269</v>
      </c>
      <c r="D68" s="44" t="str">
        <f>IFERROR(__xludf.DUMMYFUNCTION("""COMPUTED_VALUE"""),"Markusek")</f>
        <v>Markusek</v>
      </c>
      <c r="E68" s="44" t="str">
        <f>IFERROR(__xludf.DUMMYFUNCTION("""COMPUTED_VALUE"""),"Nicolas")</f>
        <v>Nicolas</v>
      </c>
      <c r="F68" s="44" t="str">
        <f>IFERROR(__xludf.DUMMYFUNCTION("""COMPUTED_VALUE"""),"CZE")</f>
        <v>CZE</v>
      </c>
      <c r="G68" s="44" t="str">
        <f>IFERROR(__xludf.DUMMYFUNCTION("""COMPUTED_VALUE"""),"REXONIX KOVO PRAHA")</f>
        <v>REXONIX KOVO PRAHA</v>
      </c>
      <c r="H68" s="44" t="str">
        <f>IFERROR(__xludf.DUMMYFUNCTION("""COMPUTED_VALUE"""),"KAD")</f>
        <v>KAD</v>
      </c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35">
        <v>55.0</v>
      </c>
      <c r="B69" s="45">
        <v>15.0</v>
      </c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)"),"10109885523")</f>
        <v>10109885523</v>
      </c>
      <c r="D69" s="44" t="str">
        <f>IFERROR(__xludf.DUMMYFUNCTION("""COMPUTED_VALUE"""),"Přenosil")</f>
        <v>Přenosil</v>
      </c>
      <c r="E69" s="44" t="str">
        <f>IFERROR(__xludf.DUMMYFUNCTION("""COMPUTED_VALUE"""),"Adam")</f>
        <v>Adam</v>
      </c>
      <c r="F69" s="44" t="str">
        <f>IFERROR(__xludf.DUMMYFUNCTION("""COMPUTED_VALUE"""),"CZE")</f>
        <v>CZE</v>
      </c>
      <c r="G69" s="44" t="str">
        <f>IFERROR(__xludf.DUMMYFUNCTION("""COMPUTED_VALUE"""),"BRILON RACING TEAM MB")</f>
        <v>BRILON RACING TEAM MB</v>
      </c>
      <c r="H69" s="44" t="str">
        <f>IFERROR(__xludf.DUMMYFUNCTION("""COMPUTED_VALUE"""),"KAD")</f>
        <v>KAD</v>
      </c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35">
        <v>56.0</v>
      </c>
      <c r="B70" s="45">
        <v>84.0</v>
      </c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)"),"10127230032")</f>
        <v>10127230032</v>
      </c>
      <c r="D70" s="44" t="str">
        <f>IFERROR(__xludf.DUMMYFUNCTION("""COMPUTED_VALUE"""),"Melichar")</f>
        <v>Melichar</v>
      </c>
      <c r="E70" s="44" t="str">
        <f>IFERROR(__xludf.DUMMYFUNCTION("""COMPUTED_VALUE"""),"Tomáš")</f>
        <v>Tomáš</v>
      </c>
      <c r="F70" s="44" t="str">
        <f>IFERROR(__xludf.DUMMYFUNCTION("""COMPUTED_VALUE"""),"CZE")</f>
        <v>CZE</v>
      </c>
      <c r="G70" s="44" t="str">
        <f>IFERROR(__xludf.DUMMYFUNCTION("""COMPUTED_VALUE"""),"TUFO PARDUS Prostějov")</f>
        <v>TUFO PARDUS Prostějov</v>
      </c>
      <c r="H70" s="44" t="str">
        <f>IFERROR(__xludf.DUMMYFUNCTION("""COMPUTED_VALUE"""),"KAD")</f>
        <v>KAD</v>
      </c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35">
        <v>57.0</v>
      </c>
      <c r="B71" s="45">
        <v>10.0</v>
      </c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)"),"10151669685")</f>
        <v>10151669685</v>
      </c>
      <c r="D71" s="44" t="str">
        <f>IFERROR(__xludf.DUMMYFUNCTION("""COMPUTED_VALUE"""),"Klár")</f>
        <v>Klár</v>
      </c>
      <c r="E71" s="44" t="str">
        <f>IFERROR(__xludf.DUMMYFUNCTION("""COMPUTED_VALUE"""),"Matyáš")</f>
        <v>Matyáš</v>
      </c>
      <c r="F71" s="44" t="str">
        <f>IFERROR(__xludf.DUMMYFUNCTION("""COMPUTED_VALUE"""),"CZE")</f>
        <v>CZE</v>
      </c>
      <c r="G71" s="44" t="str">
        <f>IFERROR(__xludf.DUMMYFUNCTION("""COMPUTED_VALUE"""),"BB Com Devcity")</f>
        <v>BB Com Devcity</v>
      </c>
      <c r="H71" s="44" t="str">
        <f>IFERROR(__xludf.DUMMYFUNCTION("""COMPUTED_VALUE"""),"KAD")</f>
        <v>KAD</v>
      </c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35">
        <v>58.0</v>
      </c>
      <c r="B72" s="45">
        <v>56.0</v>
      </c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)"),"10117392717")</f>
        <v>10117392717</v>
      </c>
      <c r="D72" s="44" t="str">
        <f>IFERROR(__xludf.DUMMYFUNCTION("""COMPUTED_VALUE"""),"Hula")</f>
        <v>Hula</v>
      </c>
      <c r="E72" s="44" t="str">
        <f>IFERROR(__xludf.DUMMYFUNCTION("""COMPUTED_VALUE"""),"Damián")</f>
        <v>Damián</v>
      </c>
      <c r="F72" s="44" t="str">
        <f>IFERROR(__xludf.DUMMYFUNCTION("""COMPUTED_VALUE"""),"CZE")</f>
        <v>CZE</v>
      </c>
      <c r="G72" s="44" t="str">
        <f>IFERROR(__xludf.DUMMYFUNCTION("""COMPUTED_VALUE"""),"HSF SYSTEM CYCLING TEAM")</f>
        <v>HSF SYSTEM CYCLING TEAM</v>
      </c>
      <c r="H72" s="44" t="str">
        <f>IFERROR(__xludf.DUMMYFUNCTION("""COMPUTED_VALUE"""),"KAD")</f>
        <v>KAD</v>
      </c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35">
        <v>59.0</v>
      </c>
      <c r="B73" s="45">
        <v>46.0</v>
      </c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)"),"10129257736")</f>
        <v>10129257736</v>
      </c>
      <c r="D73" s="44" t="str">
        <f>IFERROR(__xludf.DUMMYFUNCTION("""COMPUTED_VALUE"""),"Duchek")</f>
        <v>Duchek</v>
      </c>
      <c r="E73" s="44" t="str">
        <f>IFERROR(__xludf.DUMMYFUNCTION("""COMPUTED_VALUE"""),"Viktor")</f>
        <v>Viktor</v>
      </c>
      <c r="F73" s="44" t="str">
        <f>IFERROR(__xludf.DUMMYFUNCTION("""COMPUTED_VALUE"""),"CZE")</f>
        <v>CZE</v>
      </c>
      <c r="G73" s="44" t="str">
        <f>IFERROR(__xludf.DUMMYFUNCTION("""COMPUTED_VALUE"""),"FIEGE VELO AKADEMIE")</f>
        <v>FIEGE VELO AKADEMIE</v>
      </c>
      <c r="H73" s="44" t="str">
        <f>IFERROR(__xludf.DUMMYFUNCTION("""COMPUTED_VALUE"""),"KAD")</f>
        <v>KAD</v>
      </c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35">
        <v>60.0</v>
      </c>
      <c r="B74" s="45">
        <v>53.0</v>
      </c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)"),"10150420813")</f>
        <v>10150420813</v>
      </c>
      <c r="D74" s="44" t="str">
        <f>IFERROR(__xludf.DUMMYFUNCTION("""COMPUTED_VALUE"""),"Márton Kristóf")</f>
        <v>Márton Kristóf</v>
      </c>
      <c r="E74" s="44" t="str">
        <f>IFERROR(__xludf.DUMMYFUNCTION("""COMPUTED_VALUE"""),"Koch")</f>
        <v>Koch</v>
      </c>
      <c r="F74" s="44" t="str">
        <f>IFERROR(__xludf.DUMMYFUNCTION("""COMPUTED_VALUE"""),"HUN")</f>
        <v>HUN</v>
      </c>
      <c r="G74" s="44" t="str">
        <f>IFERROR(__xludf.DUMMYFUNCTION("""COMPUTED_VALUE"""),"Green Riders Cycling Team")</f>
        <v>Green Riders Cycling Team</v>
      </c>
      <c r="H74" s="44" t="str">
        <f>IFERROR(__xludf.DUMMYFUNCTION("""COMPUTED_VALUE"""),"KAD")</f>
        <v>KAD</v>
      </c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35">
        <v>61.0</v>
      </c>
      <c r="B75" s="45">
        <v>82.0</v>
      </c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)"),"10173384551")</f>
        <v>10173384551</v>
      </c>
      <c r="D75" s="44" t="str">
        <f>IFERROR(__xludf.DUMMYFUNCTION("""COMPUTED_VALUE"""),"Krejčí")</f>
        <v>Krejčí</v>
      </c>
      <c r="E75" s="44" t="str">
        <f>IFERROR(__xludf.DUMMYFUNCTION("""COMPUTED_VALUE"""),"Viktor")</f>
        <v>Viktor</v>
      </c>
      <c r="F75" s="44" t="str">
        <f>IFERROR(__xludf.DUMMYFUNCTION("""COMPUTED_VALUE"""),"CZE")</f>
        <v>CZE</v>
      </c>
      <c r="G75" s="44" t="str">
        <f>IFERROR(__xludf.DUMMYFUNCTION("""COMPUTED_VALUE"""),"TJ FAVORIT BRNO")</f>
        <v>TJ FAVORIT BRNO</v>
      </c>
      <c r="H75" s="44" t="str">
        <f>IFERROR(__xludf.DUMMYFUNCTION("""COMPUTED_VALUE"""),"KAD")</f>
        <v>KAD</v>
      </c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35">
        <v>62.0</v>
      </c>
      <c r="B76" s="45">
        <v>20.0</v>
      </c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)"),"10164609687")</f>
        <v>10164609687</v>
      </c>
      <c r="D76" s="44" t="str">
        <f>IFERROR(__xludf.DUMMYFUNCTION("""COMPUTED_VALUE"""),"Čapek")</f>
        <v>Čapek</v>
      </c>
      <c r="E76" s="44" t="str">
        <f>IFERROR(__xludf.DUMMYFUNCTION("""COMPUTED_VALUE"""),"Ondřej")</f>
        <v>Ondřej</v>
      </c>
      <c r="F76" s="44" t="str">
        <f>IFERROR(__xludf.DUMMYFUNCTION("""COMPUTED_VALUE"""),"CZE")</f>
        <v>CZE</v>
      </c>
      <c r="G76" s="44" t="str">
        <f>IFERROR(__xludf.DUMMYFUNCTION("""COMPUTED_VALUE"""),"BRILON RACING TEAM MB")</f>
        <v>BRILON RACING TEAM MB</v>
      </c>
      <c r="H76" s="44" t="str">
        <f>IFERROR(__xludf.DUMMYFUNCTION("""COMPUTED_VALUE"""),"KAD")</f>
        <v>KAD</v>
      </c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35">
        <v>63.0</v>
      </c>
      <c r="B77" s="45">
        <v>55.0</v>
      </c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)"),"10150093134")</f>
        <v>10150093134</v>
      </c>
      <c r="D77" s="44" t="str">
        <f>IFERROR(__xludf.DUMMYFUNCTION("""COMPUTED_VALUE"""),"Kowolowski")</f>
        <v>Kowolowski</v>
      </c>
      <c r="E77" s="44" t="str">
        <f>IFERROR(__xludf.DUMMYFUNCTION("""COMPUTED_VALUE"""),"Viktor")</f>
        <v>Viktor</v>
      </c>
      <c r="F77" s="44" t="str">
        <f>IFERROR(__xludf.DUMMYFUNCTION("""COMPUTED_VALUE"""),"CZE")</f>
        <v>CZE</v>
      </c>
      <c r="G77" s="44" t="str">
        <f>IFERROR(__xludf.DUMMYFUNCTION("""COMPUTED_VALUE"""),"HSF SYSTEM CYCLING TEAM")</f>
        <v>HSF SYSTEM CYCLING TEAM</v>
      </c>
      <c r="H77" s="44" t="str">
        <f>IFERROR(__xludf.DUMMYFUNCTION("""COMPUTED_VALUE"""),"KAD")</f>
        <v>KAD</v>
      </c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35">
        <v>64.0</v>
      </c>
      <c r="B78" s="45">
        <v>21.0</v>
      </c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)"),"10167378736")</f>
        <v>10167378736</v>
      </c>
      <c r="D78" s="44" t="str">
        <f>IFERROR(__xludf.DUMMYFUNCTION("""COMPUTED_VALUE"""),"Mlejnek")</f>
        <v>Mlejnek</v>
      </c>
      <c r="E78" s="44" t="str">
        <f>IFERROR(__xludf.DUMMYFUNCTION("""COMPUTED_VALUE"""),"Arnošt")</f>
        <v>Arnošt</v>
      </c>
      <c r="F78" s="44" t="str">
        <f>IFERROR(__xludf.DUMMYFUNCTION("""COMPUTED_VALUE"""),"CZE")</f>
        <v>CZE</v>
      </c>
      <c r="G78" s="44" t="str">
        <f>IFERROR(__xludf.DUMMYFUNCTION("""COMPUTED_VALUE"""),"BRILON RACING TEAM MB")</f>
        <v>BRILON RACING TEAM MB</v>
      </c>
      <c r="H78" s="44" t="str">
        <f>IFERROR(__xludf.DUMMYFUNCTION("""COMPUTED_VALUE"""),"KAD")</f>
        <v>KAD</v>
      </c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35">
        <v>65.0</v>
      </c>
      <c r="B79" s="45">
        <v>12.0</v>
      </c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)"),"10113548786")</f>
        <v>10113548786</v>
      </c>
      <c r="D79" s="44" t="str">
        <f>IFERROR(__xludf.DUMMYFUNCTION("""COMPUTED_VALUE"""),"Rasocha")</f>
        <v>Rasocha</v>
      </c>
      <c r="E79" s="44" t="str">
        <f>IFERROR(__xludf.DUMMYFUNCTION("""COMPUTED_VALUE"""),"Adam")</f>
        <v>Adam</v>
      </c>
      <c r="F79" s="44" t="str">
        <f>IFERROR(__xludf.DUMMYFUNCTION("""COMPUTED_VALUE"""),"CZE")</f>
        <v>CZE</v>
      </c>
      <c r="G79" s="44" t="str">
        <f>IFERROR(__xludf.DUMMYFUNCTION("""COMPUTED_VALUE"""),"BIKE PRO RACING")</f>
        <v>BIKE PRO RACING</v>
      </c>
      <c r="H79" s="44" t="str">
        <f>IFERROR(__xludf.DUMMYFUNCTION("""COMPUTED_VALUE"""),"KAD")</f>
        <v>KAD</v>
      </c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35">
        <v>66.0</v>
      </c>
      <c r="B80" s="45">
        <v>50.0</v>
      </c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)"),"10169951761")</f>
        <v>10169951761</v>
      </c>
      <c r="D80" s="44" t="str">
        <f>IFERROR(__xludf.DUMMYFUNCTION("""COMPUTED_VALUE"""),"Javora")</f>
        <v>Javora</v>
      </c>
      <c r="E80" s="44" t="str">
        <f>IFERROR(__xludf.DUMMYFUNCTION("""COMPUTED_VALUE"""),"Martin")</f>
        <v>Martin</v>
      </c>
      <c r="F80" s="44" t="str">
        <f>IFERROR(__xludf.DUMMYFUNCTION("""COMPUTED_VALUE"""),"CZE")</f>
        <v>CZE</v>
      </c>
      <c r="G80" s="44" t="str">
        <f>IFERROR(__xludf.DUMMYFUNCTION("""COMPUTED_VALUE"""),"FORCE cycling team Zlín")</f>
        <v>FORCE cycling team Zlín</v>
      </c>
      <c r="H80" s="44" t="str">
        <f>IFERROR(__xludf.DUMMYFUNCTION("""COMPUTED_VALUE"""),"KAD")</f>
        <v>KAD</v>
      </c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35">
        <v>67.0</v>
      </c>
      <c r="B81" s="45">
        <v>49.0</v>
      </c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)"),"10101320322")</f>
        <v>10101320322</v>
      </c>
      <c r="D81" s="44" t="str">
        <f>IFERROR(__xludf.DUMMYFUNCTION("""COMPUTED_VALUE"""),"Hýžďal")</f>
        <v>Hýžďal</v>
      </c>
      <c r="E81" s="44" t="str">
        <f>IFERROR(__xludf.DUMMYFUNCTION("""COMPUTED_VALUE"""),"Vojtěch")</f>
        <v>Vojtěch</v>
      </c>
      <c r="F81" s="44" t="str">
        <f>IFERROR(__xludf.DUMMYFUNCTION("""COMPUTED_VALUE"""),"CZE")</f>
        <v>CZE</v>
      </c>
      <c r="G81" s="44" t="str">
        <f>IFERROR(__xludf.DUMMYFUNCTION("""COMPUTED_VALUE"""),"FORCE cycling team Zlín")</f>
        <v>FORCE cycling team Zlín</v>
      </c>
      <c r="H81" s="44" t="str">
        <f>IFERROR(__xludf.DUMMYFUNCTION("""COMPUTED_VALUE"""),"KAD")</f>
        <v>KAD</v>
      </c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35">
        <v>68.0</v>
      </c>
      <c r="B82" s="45">
        <v>96.0</v>
      </c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 t="str">
        <f>IFERROR(__xludf.DUMMYFUNCTION("""COMPUTED_VALUE"""),"Pataki")</f>
        <v>Pataki</v>
      </c>
      <c r="E82" s="44" t="str">
        <f>IFERROR(__xludf.DUMMYFUNCTION("""COMPUTED_VALUE"""),"Tadeáš")</f>
        <v>Tadeáš</v>
      </c>
      <c r="F82" s="44" t="str">
        <f>IFERROR(__xludf.DUMMYFUNCTION("""COMPUTED_VALUE"""),"CZE")</f>
        <v>CZE</v>
      </c>
      <c r="G82" s="44" t="str">
        <f>IFERROR(__xludf.DUMMYFUNCTION("""COMPUTED_VALUE"""),"Sportcomplex Břeclav")</f>
        <v>Sportcomplex Břeclav</v>
      </c>
      <c r="H82" s="44" t="str">
        <f>IFERROR(__xludf.DUMMYFUNCTION("""COMPUTED_VALUE"""),"KAD")</f>
        <v>KAD</v>
      </c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35">
        <v>69.0</v>
      </c>
      <c r="B83" s="45">
        <v>59.0</v>
      </c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)"),"10081512619")</f>
        <v>10081512619</v>
      </c>
      <c r="D83" s="44" t="str">
        <f>IFERROR(__xludf.DUMMYFUNCTION("""COMPUTED_VALUE"""),"Tomeš")</f>
        <v>Tomeš</v>
      </c>
      <c r="E83" s="44" t="str">
        <f>IFERROR(__xludf.DUMMYFUNCTION("""COMPUTED_VALUE"""),"Roman")</f>
        <v>Roman</v>
      </c>
      <c r="F83" s="44" t="str">
        <f>IFERROR(__xludf.DUMMYFUNCTION("""COMPUTED_VALUE"""),"CZE")</f>
        <v>CZE</v>
      </c>
      <c r="G83" s="44" t="str">
        <f>IFERROR(__xludf.DUMMYFUNCTION("""COMPUTED_VALUE"""),"LAWI Junior team")</f>
        <v>LAWI Junior team</v>
      </c>
      <c r="H83" s="44" t="str">
        <f>IFERROR(__xludf.DUMMYFUNCTION("""COMPUTED_VALUE"""),"KAD")</f>
        <v>KAD</v>
      </c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35">
        <v>70.0</v>
      </c>
      <c r="B84" s="45">
        <v>86.0</v>
      </c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)"),"10137496672")</f>
        <v>10137496672</v>
      </c>
      <c r="D84" s="44" t="str">
        <f>IFERROR(__xludf.DUMMYFUNCTION("""COMPUTED_VALUE"""),"Lakomý")</f>
        <v>Lakomý</v>
      </c>
      <c r="E84" s="44" t="str">
        <f>IFERROR(__xludf.DUMMYFUNCTION("""COMPUTED_VALUE"""),"Lukáš")</f>
        <v>Lukáš</v>
      </c>
      <c r="F84" s="44" t="str">
        <f>IFERROR(__xludf.DUMMYFUNCTION("""COMPUTED_VALUE"""),"CZE")</f>
        <v>CZE</v>
      </c>
      <c r="G84" s="44" t="str">
        <f>IFERROR(__xludf.DUMMYFUNCTION("""COMPUTED_VALUE"""),"TUFO PARDUS Prostějov")</f>
        <v>TUFO PARDUS Prostějov</v>
      </c>
      <c r="H84" s="44" t="str">
        <f>IFERROR(__xludf.DUMMYFUNCTION("""COMPUTED_VALUE"""),"KAD")</f>
        <v>KAD</v>
      </c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35">
        <v>71.0</v>
      </c>
      <c r="B85" s="45">
        <v>51.0</v>
      </c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)"),"10169952973")</f>
        <v>10169952973</v>
      </c>
      <c r="D85" s="44" t="str">
        <f>IFERROR(__xludf.DUMMYFUNCTION("""COMPUTED_VALUE"""),"Plášil")</f>
        <v>Plášil</v>
      </c>
      <c r="E85" s="44" t="str">
        <f>IFERROR(__xludf.DUMMYFUNCTION("""COMPUTED_VALUE"""),"Marek")</f>
        <v>Marek</v>
      </c>
      <c r="F85" s="44" t="str">
        <f>IFERROR(__xludf.DUMMYFUNCTION("""COMPUTED_VALUE"""),"CZE")</f>
        <v>CZE</v>
      </c>
      <c r="G85" s="44" t="str">
        <f>IFERROR(__xludf.DUMMYFUNCTION("""COMPUTED_VALUE"""),"FORCE cycling team Zlín")</f>
        <v>FORCE cycling team Zlín</v>
      </c>
      <c r="H85" s="44" t="str">
        <f>IFERROR(__xludf.DUMMYFUNCTION("""COMPUTED_VALUE"""),"KAD")</f>
        <v>KAD</v>
      </c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35">
        <v>72.0</v>
      </c>
      <c r="B86" s="45">
        <v>52.0</v>
      </c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)"),"10115952265")</f>
        <v>10115952265</v>
      </c>
      <c r="D86" s="44" t="str">
        <f>IFERROR(__xludf.DUMMYFUNCTION("""COMPUTED_VALUE"""),"Macůrek")</f>
        <v>Macůrek</v>
      </c>
      <c r="E86" s="44" t="str">
        <f>IFERROR(__xludf.DUMMYFUNCTION("""COMPUTED_VALUE"""),"Filip")</f>
        <v>Filip</v>
      </c>
      <c r="F86" s="44" t="str">
        <f>IFERROR(__xludf.DUMMYFUNCTION("""COMPUTED_VALUE"""),"CZE")</f>
        <v>CZE</v>
      </c>
      <c r="G86" s="44" t="str">
        <f>IFERROR(__xludf.DUMMYFUNCTION("""COMPUTED_VALUE"""),"FORCE cycling team Zlín")</f>
        <v>FORCE cycling team Zlín</v>
      </c>
      <c r="H86" s="44" t="str">
        <f>IFERROR(__xludf.DUMMYFUNCTION("""COMPUTED_VALUE"""),"KAD")</f>
        <v>KAD</v>
      </c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35">
        <v>73.0</v>
      </c>
      <c r="B87" s="45">
        <v>35.0</v>
      </c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)"),"10150474060")</f>
        <v>10150474060</v>
      </c>
      <c r="D87" s="44" t="str">
        <f>IFERROR(__xludf.DUMMYFUNCTION("""COMPUTED_VALUE"""),"PAZDERA")</f>
        <v>PAZDERA</v>
      </c>
      <c r="E87" s="44" t="str">
        <f>IFERROR(__xludf.DUMMYFUNCTION("""COMPUTED_VALUE"""),"Dávid")</f>
        <v>Dávid</v>
      </c>
      <c r="F87" s="44" t="str">
        <f>IFERROR(__xludf.DUMMYFUNCTION("""COMPUTED_VALUE"""),"SVK")</f>
        <v>SVK</v>
      </c>
      <c r="G87" s="44" t="str">
        <f>IFERROR(__xludf.DUMMYFUNCTION("""COMPUTED_VALUE"""),"CyS - Akadémia Petra Sagana")</f>
        <v>CyS - Akadémia Petra Sagana</v>
      </c>
      <c r="H87" s="44" t="str">
        <f>IFERROR(__xludf.DUMMYFUNCTION("""COMPUTED_VALUE"""),"KAD")</f>
        <v>KAD</v>
      </c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35">
        <v>74.0</v>
      </c>
      <c r="B88" s="45">
        <v>37.0</v>
      </c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)"),"10107354934")</f>
        <v>10107354934</v>
      </c>
      <c r="D88" s="44" t="str">
        <f>IFERROR(__xludf.DUMMYFUNCTION("""COMPUTED_VALUE"""),"GALOVIČ")</f>
        <v>GALOVIČ</v>
      </c>
      <c r="E88" s="44" t="str">
        <f>IFERROR(__xludf.DUMMYFUNCTION("""COMPUTED_VALUE"""),"Matej")</f>
        <v>Matej</v>
      </c>
      <c r="F88" s="44" t="str">
        <f>IFERROR(__xludf.DUMMYFUNCTION("""COMPUTED_VALUE"""),"SVK")</f>
        <v>SVK</v>
      </c>
      <c r="G88" s="44" t="str">
        <f>IFERROR(__xludf.DUMMYFUNCTION("""COMPUTED_VALUE"""),"CyS - Akadémia Petra Sagana")</f>
        <v>CyS - Akadémia Petra Sagana</v>
      </c>
      <c r="H88" s="44" t="str">
        <f>IFERROR(__xludf.DUMMYFUNCTION("""COMPUTED_VALUE"""),"KAD")</f>
        <v>KAD</v>
      </c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35">
        <v>75.0</v>
      </c>
      <c r="B89" s="45">
        <v>81.0</v>
      </c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)"),"10163330200")</f>
        <v>10163330200</v>
      </c>
      <c r="D89" s="44" t="str">
        <f>IFERROR(__xludf.DUMMYFUNCTION("""COMPUTED_VALUE"""),"Pokorný")</f>
        <v>Pokorný</v>
      </c>
      <c r="E89" s="44" t="str">
        <f>IFERROR(__xludf.DUMMYFUNCTION("""COMPUTED_VALUE"""),"Šimon")</f>
        <v>Šimon</v>
      </c>
      <c r="F89" s="44" t="str">
        <f>IFERROR(__xludf.DUMMYFUNCTION("""COMPUTED_VALUE"""),"CZE")</f>
        <v>CZE</v>
      </c>
      <c r="G89" s="44" t="str">
        <f>IFERROR(__xludf.DUMMYFUNCTION("""COMPUTED_VALUE"""),"TJ FAVORIT BRNO")</f>
        <v>TJ FAVORIT BRNO</v>
      </c>
      <c r="H89" s="44" t="str">
        <f>IFERROR(__xludf.DUMMYFUNCTION("""COMPUTED_VALUE"""),"KAD")</f>
        <v>KAD</v>
      </c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35">
        <v>76.0</v>
      </c>
      <c r="B90" s="45">
        <v>83.0</v>
      </c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)"),"10173269363")</f>
        <v>10173269363</v>
      </c>
      <c r="D90" s="44" t="str">
        <f>IFERROR(__xludf.DUMMYFUNCTION("""COMPUTED_VALUE"""),"Novotný")</f>
        <v>Novotný</v>
      </c>
      <c r="E90" s="44" t="str">
        <f>IFERROR(__xludf.DUMMYFUNCTION("""COMPUTED_VALUE"""),"Ondřej")</f>
        <v>Ondřej</v>
      </c>
      <c r="F90" s="44" t="str">
        <f>IFERROR(__xludf.DUMMYFUNCTION("""COMPUTED_VALUE"""),"CZE")</f>
        <v>CZE</v>
      </c>
      <c r="G90" s="44" t="str">
        <f>IFERROR(__xludf.DUMMYFUNCTION("""COMPUTED_VALUE"""),"TJ FAVORIT BRNO")</f>
        <v>TJ FAVORIT BRNO</v>
      </c>
      <c r="H90" s="44" t="str">
        <f>IFERROR(__xludf.DUMMYFUNCTION("""COMPUTED_VALUE"""),"KAD")</f>
        <v>KAD</v>
      </c>
      <c r="I90" s="48" t="s">
        <v>36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35">
        <v>77.0</v>
      </c>
      <c r="B91" s="45">
        <v>76.0</v>
      </c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 t="str">
        <f>IFERROR(__xludf.DUMMYFUNCTION("""COMPUTED_VALUE"""),"Malý")</f>
        <v>Malý</v>
      </c>
      <c r="E91" s="44" t="str">
        <f>IFERROR(__xludf.DUMMYFUNCTION("""COMPUTED_VALUE"""),"Adrian")</f>
        <v>Adrian</v>
      </c>
      <c r="F91" s="44" t="str">
        <f>IFERROR(__xludf.DUMMYFUNCTION("""COMPUTED_VALUE"""),"CZE")</f>
        <v>CZE</v>
      </c>
      <c r="G91" s="44" t="str">
        <f>IFERROR(__xludf.DUMMYFUNCTION("""COMPUTED_VALUE"""),"Superior Team Jeseník")</f>
        <v>Superior Team Jeseník</v>
      </c>
      <c r="H91" s="44" t="str">
        <f>IFERROR(__xludf.DUMMYFUNCTION("""COMPUTED_VALUE"""),"KAD")</f>
        <v>KAD</v>
      </c>
      <c r="I91" s="48" t="s">
        <v>36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35">
        <v>78.0</v>
      </c>
      <c r="B92" s="45">
        <v>93.0</v>
      </c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 t="str">
        <f>IFERROR(__xludf.DUMMYFUNCTION("""COMPUTED_VALUE"""),"Gudiak")</f>
        <v>Gudiak</v>
      </c>
      <c r="E92" s="44" t="str">
        <f>IFERROR(__xludf.DUMMYFUNCTION("""COMPUTED_VALUE"""),"Matúš")</f>
        <v>Matúš</v>
      </c>
      <c r="F92" s="44" t="str">
        <f>IFERROR(__xludf.DUMMYFUNCTION("""COMPUTED_VALUE"""),"SVK")</f>
        <v>SVK</v>
      </c>
      <c r="G92" s="44" t="str">
        <f>IFERROR(__xludf.DUMMYFUNCTION("""COMPUTED_VALUE"""),"Cycling Academy Trenčín")</f>
        <v>Cycling Academy Trenčín</v>
      </c>
      <c r="H92" s="44" t="str">
        <f>IFERROR(__xludf.DUMMYFUNCTION("""COMPUTED_VALUE"""),"KAD")</f>
        <v>KAD</v>
      </c>
      <c r="I92" s="48" t="s">
        <v>36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35">
        <v>79.0</v>
      </c>
      <c r="B93" s="45">
        <v>25.0</v>
      </c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)"),"10170271255")</f>
        <v>10170271255</v>
      </c>
      <c r="D93" s="44" t="str">
        <f>IFERROR(__xludf.DUMMYFUNCTION("""COMPUTED_VALUE"""),"Staněk")</f>
        <v>Staněk</v>
      </c>
      <c r="E93" s="44" t="str">
        <f>IFERROR(__xludf.DUMMYFUNCTION("""COMPUTED_VALUE"""),"Miloš")</f>
        <v>Miloš</v>
      </c>
      <c r="F93" s="44" t="str">
        <f>IFERROR(__xludf.DUMMYFUNCTION("""COMPUTED_VALUE"""),"CZE")</f>
        <v>CZE</v>
      </c>
      <c r="G93" s="44" t="str">
        <f>IFERROR(__xludf.DUMMYFUNCTION("""COMPUTED_VALUE"""),"CK Dacom Pharma Kyjov")</f>
        <v>CK Dacom Pharma Kyjov</v>
      </c>
      <c r="H93" s="44" t="str">
        <f>IFERROR(__xludf.DUMMYFUNCTION("""COMPUTED_VALUE"""),"KAD")</f>
        <v>KAD</v>
      </c>
      <c r="I93" s="48" t="s">
        <v>36</v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35">
        <v>80.0</v>
      </c>
      <c r="B94" s="45">
        <v>75.0</v>
      </c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)"),"10172390808")</f>
        <v>10172390808</v>
      </c>
      <c r="D94" s="44" t="str">
        <f>IFERROR(__xludf.DUMMYFUNCTION("""COMPUTED_VALUE"""),"Novotný")</f>
        <v>Novotný</v>
      </c>
      <c r="E94" s="44" t="str">
        <f>IFERROR(__xludf.DUMMYFUNCTION("""COMPUTED_VALUE"""),"Dominik")</f>
        <v>Dominik</v>
      </c>
      <c r="F94" s="44" t="str">
        <f>IFERROR(__xludf.DUMMYFUNCTION("""COMPUTED_VALUE"""),"CZE")</f>
        <v>CZE</v>
      </c>
      <c r="G94" s="44" t="str">
        <f>IFERROR(__xludf.DUMMYFUNCTION("""COMPUTED_VALUE"""),"Superior Team Jeseník")</f>
        <v>Superior Team Jeseník</v>
      </c>
      <c r="H94" s="44" t="str">
        <f>IFERROR(__xludf.DUMMYFUNCTION("""COMPUTED_VALUE"""),"KAD")</f>
        <v>KAD</v>
      </c>
      <c r="I94" s="48" t="s">
        <v>36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35">
        <v>81.0</v>
      </c>
      <c r="B95" s="45">
        <v>97.0</v>
      </c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 t="str">
        <f>IFERROR(__xludf.DUMMYFUNCTION("""COMPUTED_VALUE"""),"Hrančík")</f>
        <v>Hrančík</v>
      </c>
      <c r="E95" s="44" t="str">
        <f>IFERROR(__xludf.DUMMYFUNCTION("""COMPUTED_VALUE"""),"Václav")</f>
        <v>Václav</v>
      </c>
      <c r="F95" s="44" t="str">
        <f>IFERROR(__xludf.DUMMYFUNCTION("""COMPUTED_VALUE"""),"CZE")</f>
        <v>CZE</v>
      </c>
      <c r="G95" s="44" t="str">
        <f>IFERROR(__xludf.DUMMYFUNCTION("""COMPUTED_VALUE"""),"Sportcomplex Břeclav")</f>
        <v>Sportcomplex Břeclav</v>
      </c>
      <c r="H95" s="44" t="str">
        <f>IFERROR(__xludf.DUMMYFUNCTION("""COMPUTED_VALUE"""),"KAD")</f>
        <v>KAD</v>
      </c>
      <c r="I95" s="48" t="s">
        <v>36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35">
        <v>82.0</v>
      </c>
      <c r="B96" s="45">
        <v>70.0</v>
      </c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)"),"10168450382")</f>
        <v>10168450382</v>
      </c>
      <c r="D96" s="44" t="str">
        <f>IFERROR(__xludf.DUMMYFUNCTION("""COMPUTED_VALUE"""),"Duda")</f>
        <v>Duda</v>
      </c>
      <c r="E96" s="44" t="str">
        <f>IFERROR(__xludf.DUMMYFUNCTION("""COMPUTED_VALUE"""),"František")</f>
        <v>František</v>
      </c>
      <c r="F96" s="44" t="str">
        <f>IFERROR(__xludf.DUMMYFUNCTION("""COMPUTED_VALUE"""),"CZE")</f>
        <v>CZE</v>
      </c>
      <c r="G96" s="44" t="str">
        <f>IFERROR(__xludf.DUMMYFUNCTION("""COMPUTED_VALUE"""),"REXONIX KOVO PRAHA")</f>
        <v>REXONIX KOVO PRAHA</v>
      </c>
      <c r="H96" s="44" t="str">
        <f>IFERROR(__xludf.DUMMYFUNCTION("""COMPUTED_VALUE"""),"KAD")</f>
        <v>KAD</v>
      </c>
      <c r="I96" s="48" t="s">
        <v>36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35">
        <v>83.0</v>
      </c>
      <c r="B97" s="45">
        <v>95.0</v>
      </c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 t="str">
        <f>IFERROR(__xludf.DUMMYFUNCTION("""COMPUTED_VALUE"""),"Zezulčík")</f>
        <v>Zezulčík</v>
      </c>
      <c r="E97" s="44" t="str">
        <f>IFERROR(__xludf.DUMMYFUNCTION("""COMPUTED_VALUE"""),"Tomíáš")</f>
        <v>Tomíáš</v>
      </c>
      <c r="F97" s="44" t="str">
        <f>IFERROR(__xludf.DUMMYFUNCTION("""COMPUTED_VALUE"""),"CZE")</f>
        <v>CZE</v>
      </c>
      <c r="G97" s="44" t="str">
        <f>IFERROR(__xludf.DUMMYFUNCTION("""COMPUTED_VALUE"""),"Sportcomplex Břeclav")</f>
        <v>Sportcomplex Břeclav</v>
      </c>
      <c r="H97" s="44" t="str">
        <f>IFERROR(__xludf.DUMMYFUNCTION("""COMPUTED_VALUE"""),"KAD")</f>
        <v>KAD</v>
      </c>
      <c r="I97" s="48" t="s">
        <v>36</v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35">
        <v>84.0</v>
      </c>
      <c r="B98" s="45">
        <v>44.0</v>
      </c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)"),"10128849124")</f>
        <v>10128849124</v>
      </c>
      <c r="D98" s="44" t="str">
        <f>IFERROR(__xludf.DUMMYFUNCTION("""COMPUTED_VALUE"""),"Rott")</f>
        <v>Rott</v>
      </c>
      <c r="E98" s="44" t="str">
        <f>IFERROR(__xludf.DUMMYFUNCTION("""COMPUTED_VALUE"""),"Daniel")</f>
        <v>Daniel</v>
      </c>
      <c r="F98" s="44" t="str">
        <f>IFERROR(__xludf.DUMMYFUNCTION("""COMPUTED_VALUE"""),"CZE")</f>
        <v>CZE</v>
      </c>
      <c r="G98" s="44" t="str">
        <f>IFERROR(__xludf.DUMMYFUNCTION("""COMPUTED_VALUE"""),"Expres CZ Elmtrade Team Kolín")</f>
        <v>Expres CZ Elmtrade Team Kolín</v>
      </c>
      <c r="H98" s="44" t="str">
        <f>IFERROR(__xludf.DUMMYFUNCTION("""COMPUTED_VALUE"""),"KAD")</f>
        <v>KAD</v>
      </c>
      <c r="I98" s="48" t="s">
        <v>36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35">
        <v>85.0</v>
      </c>
      <c r="B99" s="45">
        <v>24.0</v>
      </c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)"),"10126080277")</f>
        <v>10126080277</v>
      </c>
      <c r="D99" s="44" t="str">
        <f>IFERROR(__xludf.DUMMYFUNCTION("""COMPUTED_VALUE"""),"Stehlík")</f>
        <v>Stehlík</v>
      </c>
      <c r="E99" s="44" t="str">
        <f>IFERROR(__xludf.DUMMYFUNCTION("""COMPUTED_VALUE"""),"Daniel")</f>
        <v>Daniel</v>
      </c>
      <c r="F99" s="44" t="str">
        <f>IFERROR(__xludf.DUMMYFUNCTION("""COMPUTED_VALUE"""),"CZE")</f>
        <v>CZE</v>
      </c>
      <c r="G99" s="44" t="str">
        <f>IFERROR(__xludf.DUMMYFUNCTION("""COMPUTED_VALUE"""),"CK Dacom Pharma Kyjov")</f>
        <v>CK Dacom Pharma Kyjov</v>
      </c>
      <c r="H99" s="44" t="str">
        <f>IFERROR(__xludf.DUMMYFUNCTION("""COMPUTED_VALUE"""),"KAD")</f>
        <v>KAD</v>
      </c>
      <c r="I99" s="48" t="s">
        <v>36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35">
        <v>86.0</v>
      </c>
      <c r="B100" s="45">
        <v>13.0</v>
      </c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 t="str">
        <f>IFERROR(__xludf.DUMMYFUNCTION("""COMPUTED_VALUE"""),"Ondroušek")</f>
        <v>Ondroušek</v>
      </c>
      <c r="E100" s="44" t="str">
        <f>IFERROR(__xludf.DUMMYFUNCTION("""COMPUTED_VALUE"""),"Martin")</f>
        <v>Martin</v>
      </c>
      <c r="F100" s="44" t="str">
        <f>IFERROR(__xludf.DUMMYFUNCTION("""COMPUTED_VALUE"""),"CZE")</f>
        <v>CZE</v>
      </c>
      <c r="G100" s="44" t="str">
        <f>IFERROR(__xludf.DUMMYFUNCTION("""COMPUTED_VALUE"""),"BIKE PRO RACING")</f>
        <v>BIKE PRO RACING</v>
      </c>
      <c r="H100" s="44" t="str">
        <f>IFERROR(__xludf.DUMMYFUNCTION("""COMPUTED_VALUE"""),"KAD")</f>
        <v>KAD</v>
      </c>
      <c r="I100" s="48" t="s">
        <v>36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35" t="s">
        <v>37</v>
      </c>
      <c r="B101" s="45">
        <v>2.0</v>
      </c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)"),"10151474372")</f>
        <v>10151474372</v>
      </c>
      <c r="D101" s="44" t="str">
        <f>IFERROR(__xludf.DUMMYFUNCTION("""COMPUTED_VALUE"""),"Borisz")</f>
        <v>Borisz</v>
      </c>
      <c r="E101" s="44" t="str">
        <f>IFERROR(__xludf.DUMMYFUNCTION("""COMPUTED_VALUE"""),"Paar")</f>
        <v>Paar</v>
      </c>
      <c r="F101" s="44" t="str">
        <f>IFERROR(__xludf.DUMMYFUNCTION("""COMPUTED_VALUE"""),"AUT")</f>
        <v>AUT</v>
      </c>
      <c r="G101" s="44" t="str">
        <f>IFERROR(__xludf.DUMMYFUNCTION("""COMPUTED_VALUE"""),"ARBÖ ASKÖ RLM Wien")</f>
        <v>ARBÖ ASKÖ RLM Wien</v>
      </c>
      <c r="H101" s="44" t="str">
        <f>IFERROR(__xludf.DUMMYFUNCTION("""COMPUTED_VALUE"""),"KAD")</f>
        <v>KAD</v>
      </c>
      <c r="I101" s="48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35" t="s">
        <v>37</v>
      </c>
      <c r="B102" s="45">
        <v>4.0</v>
      </c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)"),"10136844247")</f>
        <v>10136844247</v>
      </c>
      <c r="D102" s="44" t="str">
        <f>IFERROR(__xludf.DUMMYFUNCTION("""COMPUTED_VALUE"""),"Fred")</f>
        <v>Fred</v>
      </c>
      <c r="E102" s="44" t="str">
        <f>IFERROR(__xludf.DUMMYFUNCTION("""COMPUTED_VALUE"""),"Steindl")</f>
        <v>Steindl</v>
      </c>
      <c r="F102" s="44" t="str">
        <f>IFERROR(__xludf.DUMMYFUNCTION("""COMPUTED_VALUE"""),"AUT")</f>
        <v>AUT</v>
      </c>
      <c r="G102" s="44" t="str">
        <f>IFERROR(__xludf.DUMMYFUNCTION("""COMPUTED_VALUE"""),"ARBÖ ASKÖ RLM Wien")</f>
        <v>ARBÖ ASKÖ RLM Wien</v>
      </c>
      <c r="H102" s="44" t="str">
        <f>IFERROR(__xludf.DUMMYFUNCTION("""COMPUTED_VALUE"""),"KAD")</f>
        <v>KAD</v>
      </c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35" t="s">
        <v>37</v>
      </c>
      <c r="B103" s="45">
        <v>5.0</v>
      </c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)"),"10080729040")</f>
        <v>10080729040</v>
      </c>
      <c r="D103" s="44" t="str">
        <f>IFERROR(__xludf.DUMMYFUNCTION("""COMPUTED_VALUE"""),"Daniel")</f>
        <v>Daniel</v>
      </c>
      <c r="E103" s="44" t="str">
        <f>IFERROR(__xludf.DUMMYFUNCTION("""COMPUTED_VALUE"""),"Szilasi")</f>
        <v>Szilasi</v>
      </c>
      <c r="F103" s="44" t="str">
        <f>IFERROR(__xludf.DUMMYFUNCTION("""COMPUTED_VALUE"""),"HUN")</f>
        <v>HUN</v>
      </c>
      <c r="G103" s="44" t="str">
        <f>IFERROR(__xludf.DUMMYFUNCTION("""COMPUTED_VALUE"""),"Avia-Rudyco")</f>
        <v>Avia-Rudyco</v>
      </c>
      <c r="H103" s="44" t="str">
        <f>IFERROR(__xludf.DUMMYFUNCTION("""COMPUTED_VALUE"""),"KAD")</f>
        <v>KAD</v>
      </c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35" t="s">
        <v>37</v>
      </c>
      <c r="B104" s="45">
        <v>8.0</v>
      </c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)"),"10158009445")</f>
        <v>10158009445</v>
      </c>
      <c r="D104" s="44" t="str">
        <f>IFERROR(__xludf.DUMMYFUNCTION("""COMPUTED_VALUE"""),"Ehl")</f>
        <v>Ehl</v>
      </c>
      <c r="E104" s="44" t="str">
        <f>IFERROR(__xludf.DUMMYFUNCTION("""COMPUTED_VALUE"""),"Matěj")</f>
        <v>Matěj</v>
      </c>
      <c r="F104" s="44" t="str">
        <f>IFERROR(__xludf.DUMMYFUNCTION("""COMPUTED_VALUE"""),"CZE")</f>
        <v>CZE</v>
      </c>
      <c r="G104" s="44" t="str">
        <f>IFERROR(__xludf.DUMMYFUNCTION("""COMPUTED_VALUE"""),"BB Com Devcity")</f>
        <v>BB Com Devcity</v>
      </c>
      <c r="H104" s="44" t="str">
        <f>IFERROR(__xludf.DUMMYFUNCTION("""COMPUTED_VALUE"""),"KAD")</f>
        <v>KAD</v>
      </c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35" t="s">
        <v>37</v>
      </c>
      <c r="B105" s="45">
        <v>9.0</v>
      </c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)"),"10157989944")</f>
        <v>10157989944</v>
      </c>
      <c r="D105" s="44" t="str">
        <f>IFERROR(__xludf.DUMMYFUNCTION("""COMPUTED_VALUE"""),"Kot")</f>
        <v>Kot</v>
      </c>
      <c r="E105" s="44" t="str">
        <f>IFERROR(__xludf.DUMMYFUNCTION("""COMPUTED_VALUE"""),"Jan")</f>
        <v>Jan</v>
      </c>
      <c r="F105" s="44" t="str">
        <f>IFERROR(__xludf.DUMMYFUNCTION("""COMPUTED_VALUE"""),"CZE")</f>
        <v>CZE</v>
      </c>
      <c r="G105" s="44" t="str">
        <f>IFERROR(__xludf.DUMMYFUNCTION("""COMPUTED_VALUE"""),"BB Com Devcity")</f>
        <v>BB Com Devcity</v>
      </c>
      <c r="H105" s="44" t="str">
        <f>IFERROR(__xludf.DUMMYFUNCTION("""COMPUTED_VALUE"""),"KAD")</f>
        <v>KAD</v>
      </c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35" t="s">
        <v>37</v>
      </c>
      <c r="B106" s="45">
        <v>57.0</v>
      </c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)"),"10108874501")</f>
        <v>10108874501</v>
      </c>
      <c r="D106" s="44" t="str">
        <f>IFERROR(__xludf.DUMMYFUNCTION("""COMPUTED_VALUE"""),"Surmacz")</f>
        <v>Surmacz</v>
      </c>
      <c r="E106" s="44" t="str">
        <f>IFERROR(__xludf.DUMMYFUNCTION("""COMPUTED_VALUE"""),"Ignacy")</f>
        <v>Ignacy</v>
      </c>
      <c r="F106" s="44" t="str">
        <f>IFERROR(__xludf.DUMMYFUNCTION("""COMPUTED_VALUE"""),"POL")</f>
        <v>POL</v>
      </c>
      <c r="G106" s="44" t="str">
        <f>IFERROR(__xludf.DUMMYFUNCTION("""COMPUTED_VALUE"""),"JKK Jeleniogórski Klub Kolarski")</f>
        <v>JKK Jeleniogórski Klub Kolarski</v>
      </c>
      <c r="H106" s="44" t="str">
        <f>IFERROR(__xludf.DUMMYFUNCTION("""COMPUTED_VALUE"""),"KAD")</f>
        <v>KAD</v>
      </c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35" t="s">
        <v>37</v>
      </c>
      <c r="B107" s="45">
        <v>66.0</v>
      </c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)"),"10157449572")</f>
        <v>10157449572</v>
      </c>
      <c r="D107" s="44" t="str">
        <f>IFERROR(__xludf.DUMMYFUNCTION("""COMPUTED_VALUE"""),"Chmelík")</f>
        <v>Chmelík</v>
      </c>
      <c r="E107" s="44" t="str">
        <f>IFERROR(__xludf.DUMMYFUNCTION("""COMPUTED_VALUE"""),"Kryštof")</f>
        <v>Kryštof</v>
      </c>
      <c r="F107" s="44" t="str">
        <f>IFERROR(__xludf.DUMMYFUNCTION("""COMPUTED_VALUE"""),"CZE")</f>
        <v>CZE</v>
      </c>
      <c r="G107" s="44" t="str">
        <f>IFERROR(__xludf.DUMMYFUNCTION("""COMPUTED_VALUE"""),"REXONIX KOVO PRAHA")</f>
        <v>REXONIX KOVO PRAHA</v>
      </c>
      <c r="H107" s="44" t="str">
        <f>IFERROR(__xludf.DUMMYFUNCTION("""COMPUTED_VALUE"""),"KAD")</f>
        <v>KAD</v>
      </c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35" t="s">
        <v>37</v>
      </c>
      <c r="B108" s="45">
        <v>78.0</v>
      </c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)"),"10143541792")</f>
        <v>10143541792</v>
      </c>
      <c r="D108" s="44" t="str">
        <f>IFERROR(__xludf.DUMMYFUNCTION("""COMPUTED_VALUE"""),"Gerauer")</f>
        <v>Gerauer</v>
      </c>
      <c r="E108" s="44" t="str">
        <f>IFERROR(__xludf.DUMMYFUNCTION("""COMPUTED_VALUE"""),"Tobias")</f>
        <v>Tobias</v>
      </c>
      <c r="F108" s="44" t="str">
        <f>IFERROR(__xludf.DUMMYFUNCTION("""COMPUTED_VALUE"""),"AUT")</f>
        <v>AUT</v>
      </c>
      <c r="G108" s="44" t="str">
        <f>IFERROR(__xludf.DUMMYFUNCTION("""COMPUTED_VALUE"""),"team alpha Radsportteam")</f>
        <v>team alpha Radsportteam</v>
      </c>
      <c r="H108" s="44" t="str">
        <f>IFERROR(__xludf.DUMMYFUNCTION("""COMPUTED_VALUE"""),"KAD")</f>
        <v>KAD</v>
      </c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45" t="s">
        <v>39</v>
      </c>
      <c r="B109" s="43"/>
      <c r="C109" s="41">
        <v>1.0133448742E10</v>
      </c>
      <c r="D109" s="49" t="s">
        <v>68</v>
      </c>
      <c r="E109" s="49" t="s">
        <v>69</v>
      </c>
      <c r="F109" s="49" t="s">
        <v>49</v>
      </c>
      <c r="G109" s="49" t="s">
        <v>70</v>
      </c>
      <c r="H109" s="49" t="s">
        <v>22</v>
      </c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45" t="s">
        <v>39</v>
      </c>
      <c r="B110" s="43"/>
      <c r="C110" s="41">
        <v>1.0127550233E10</v>
      </c>
      <c r="D110" s="49" t="s">
        <v>71</v>
      </c>
      <c r="E110" s="49" t="s">
        <v>72</v>
      </c>
      <c r="F110" s="49" t="s">
        <v>42</v>
      </c>
      <c r="G110" s="49" t="s">
        <v>73</v>
      </c>
      <c r="H110" s="49" t="s">
        <v>22</v>
      </c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45" t="s">
        <v>39</v>
      </c>
      <c r="B111" s="43"/>
      <c r="C111" s="41">
        <v>1.0116899229E10</v>
      </c>
      <c r="D111" s="49" t="s">
        <v>74</v>
      </c>
      <c r="E111" s="49" t="s">
        <v>75</v>
      </c>
      <c r="F111" s="49" t="s">
        <v>42</v>
      </c>
      <c r="G111" s="49" t="s">
        <v>76</v>
      </c>
      <c r="H111" s="49" t="s">
        <v>22</v>
      </c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45" t="s">
        <v>39</v>
      </c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46"/>
      <c r="B118" s="47"/>
      <c r="C118" s="47"/>
      <c r="D118" s="47"/>
      <c r="E118" s="47"/>
      <c r="F118" s="47"/>
      <c r="G118" s="47"/>
      <c r="H118" s="47"/>
      <c r="I118" s="47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8"/>
      <c r="B119" s="18"/>
      <c r="C119" s="18"/>
      <c r="D119" s="18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 t="s">
        <v>63</v>
      </c>
      <c r="C122" s="18">
        <v>8.0</v>
      </c>
      <c r="D122" s="18" t="s">
        <v>64</v>
      </c>
      <c r="E122" s="14"/>
      <c r="F122" s="14"/>
      <c r="G122" s="18" t="s">
        <v>65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8" t="s">
        <v>66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8" t="s">
        <v>67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</sheetData>
  <mergeCells count="10">
    <mergeCell ref="A12:B12"/>
    <mergeCell ref="A122:B122"/>
    <mergeCell ref="A124:B124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12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17</v>
      </c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21.0</v>
      </c>
      <c r="D12" s="18" t="s">
        <v>25</v>
      </c>
      <c r="E12" s="26">
        <v>17.0</v>
      </c>
      <c r="F12" s="28"/>
      <c r="G12" s="18" t="s">
        <v>26</v>
      </c>
      <c r="H12" s="26">
        <v>13.0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252.0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)"),"10067450548")</f>
        <v>10067450548</v>
      </c>
      <c r="D15" s="37" t="str">
        <f>IFERROR(__xludf.DUMMYFUNCTION("""COMPUTED_VALUE"""),"Ungerova")</f>
        <v>Ungerova</v>
      </c>
      <c r="E15" s="37" t="str">
        <f>IFERROR(__xludf.DUMMYFUNCTION("""COMPUTED_VALUE"""),"Sofia")</f>
        <v>Sofia</v>
      </c>
      <c r="F15" s="37" t="str">
        <f>IFERROR(__xludf.DUMMYFUNCTION("""COMPUTED_VALUE"""),"SVK")</f>
        <v>SVK</v>
      </c>
      <c r="G15" s="37" t="str">
        <f>IFERROR(__xludf.DUMMYFUNCTION("""COMPUTED_VALUE"""),"MAT ATOM DEWELOPER WROCŁAW")</f>
        <v>MAT ATOM DEWELOPER WROCŁAW</v>
      </c>
      <c r="H15" s="37" t="str">
        <f>IFERROR(__xludf.DUMMYFUNCTION("""COMPUTED_VALUE"""),"F*EL")</f>
        <v>F*EL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243.0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)"),"10047309914")</f>
        <v>10047309914</v>
      </c>
      <c r="D16" s="37" t="str">
        <f>IFERROR(__xludf.DUMMYFUNCTION("""COMPUTED_VALUE"""),"Němcová")</f>
        <v>Němcová</v>
      </c>
      <c r="E16" s="37" t="str">
        <f>IFERROR(__xludf.DUMMYFUNCTION("""COMPUTED_VALUE"""),"Barbora")</f>
        <v>Barbora</v>
      </c>
      <c r="F16" s="37" t="str">
        <f>IFERROR(__xludf.DUMMYFUNCTION("""COMPUTED_VALUE"""),"CZE")</f>
        <v>CZE</v>
      </c>
      <c r="G16" s="37" t="str">
        <f>IFERROR(__xludf.DUMMYFUNCTION("""COMPUTED_VALUE"""),"Dukla Women Cycling")</f>
        <v>Dukla Women Cycling</v>
      </c>
      <c r="H16" s="37" t="str">
        <f>IFERROR(__xludf.DUMMYFUNCTION("""COMPUTED_VALUE"""),"F*EL")</f>
        <v>F*EL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245.0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)"),"10072551031")</f>
        <v>10072551031</v>
      </c>
      <c r="D17" s="37" t="str">
        <f>IFERROR(__xludf.DUMMYFUNCTION("""COMPUTED_VALUE"""),"Hermanová")</f>
        <v>Hermanová</v>
      </c>
      <c r="E17" s="37" t="str">
        <f>IFERROR(__xludf.DUMMYFUNCTION("""COMPUTED_VALUE"""),"Beáta")</f>
        <v>Beáta</v>
      </c>
      <c r="F17" s="37" t="str">
        <f>IFERROR(__xludf.DUMMYFUNCTION("""COMPUTED_VALUE"""),"CZE")</f>
        <v>CZE</v>
      </c>
      <c r="G17" s="37" t="str">
        <f>IFERROR(__xludf.DUMMYFUNCTION("""COMPUTED_VALUE"""),"Dukla Women Cycling")</f>
        <v>Dukla Women Cycling</v>
      </c>
      <c r="H17" s="37" t="str">
        <f>IFERROR(__xludf.DUMMYFUNCTION("""COMPUTED_VALUE"""),"F*EL")</f>
        <v>F*EL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251.0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)"),"10047358515")</f>
        <v>10047358515</v>
      </c>
      <c r="D18" s="37" t="str">
        <f>IFERROR(__xludf.DUMMYFUNCTION("""COMPUTED_VALUE"""),"Drbohlavová")</f>
        <v>Drbohlavová</v>
      </c>
      <c r="E18" s="37" t="str">
        <f>IFERROR(__xludf.DUMMYFUNCTION("""COMPUTED_VALUE"""),"Eliška")</f>
        <v>Eliška</v>
      </c>
      <c r="F18" s="37" t="str">
        <f>IFERROR(__xludf.DUMMYFUNCTION("""COMPUTED_VALUE"""),"CZE")</f>
        <v>CZE</v>
      </c>
      <c r="G18" s="37" t="str">
        <f>IFERROR(__xludf.DUMMYFUNCTION("""COMPUTED_VALUE"""),"LAWI Junior team")</f>
        <v>LAWI Junior team</v>
      </c>
      <c r="H18" s="37" t="str">
        <f>IFERROR(__xludf.DUMMYFUNCTION("""COMPUTED_VALUE"""),"F*EL")</f>
        <v>F*EL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247.0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)"),"10004738937")</f>
        <v>10004738937</v>
      </c>
      <c r="D19" s="37" t="str">
        <f>IFERROR(__xludf.DUMMYFUNCTION("""COMPUTED_VALUE"""),"Machačová")</f>
        <v>Machačová</v>
      </c>
      <c r="E19" s="37" t="str">
        <f>IFERROR(__xludf.DUMMYFUNCTION("""COMPUTED_VALUE"""),"Jarmila")</f>
        <v>Jarmila</v>
      </c>
      <c r="F19" s="37" t="str">
        <f>IFERROR(__xludf.DUMMYFUNCTION("""COMPUTED_VALUE"""),"CZE")</f>
        <v>CZE</v>
      </c>
      <c r="G19" s="37" t="str">
        <f>IFERROR(__xludf.DUMMYFUNCTION("""COMPUTED_VALUE"""),"Dukla Women Cycling")</f>
        <v>Dukla Women Cycling</v>
      </c>
      <c r="H19" s="37" t="str">
        <f>IFERROR(__xludf.DUMMYFUNCTION("""COMPUTED_VALUE"""),"F*EL")</f>
        <v>F*EL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259.0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)"),"10079507345")</f>
        <v>10079507345</v>
      </c>
      <c r="D20" s="37" t="str">
        <f>IFERROR(__xludf.DUMMYFUNCTION("""COMPUTED_VALUE"""),"Polášková")</f>
        <v>Polášková</v>
      </c>
      <c r="E20" s="37" t="str">
        <f>IFERROR(__xludf.DUMMYFUNCTION("""COMPUTED_VALUE"""),"Ema")</f>
        <v>Ema</v>
      </c>
      <c r="F20" s="37" t="str">
        <f>IFERROR(__xludf.DUMMYFUNCTION("""COMPUTED_VALUE"""),"CZE")</f>
        <v>CZE</v>
      </c>
      <c r="G20" s="37" t="str">
        <f>IFERROR(__xludf.DUMMYFUNCTION("""COMPUTED_VALUE"""),"Team Forman Energetic")</f>
        <v>Team Forman Energetic</v>
      </c>
      <c r="H20" s="37" t="str">
        <f>IFERROR(__xludf.DUMMYFUNCTION("""COMPUTED_VALUE"""),"F*EL")</f>
        <v>F*EL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260.0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)"),"10015214634")</f>
        <v>10015214634</v>
      </c>
      <c r="D21" s="37" t="str">
        <f>IFERROR(__xludf.DUMMYFUNCTION("""COMPUTED_VALUE"""),"Koclířová")</f>
        <v>Koclířová</v>
      </c>
      <c r="E21" s="37" t="str">
        <f>IFERROR(__xludf.DUMMYFUNCTION("""COMPUTED_VALUE"""),"Adéla")</f>
        <v>Adéla</v>
      </c>
      <c r="F21" s="37" t="str">
        <f>IFERROR(__xludf.DUMMYFUNCTION("""COMPUTED_VALUE"""),"CZE")</f>
        <v>CZE</v>
      </c>
      <c r="G21" s="37" t="str">
        <f>IFERROR(__xludf.DUMMYFUNCTION("""COMPUTED_VALUE"""),"TFD")</f>
        <v>TFD</v>
      </c>
      <c r="H21" s="37" t="str">
        <f>IFERROR(__xludf.DUMMYFUNCTION("""COMPUTED_VALUE"""),"F*EL")</f>
        <v>F*EL</v>
      </c>
      <c r="I21" s="40" t="s">
        <v>36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256.0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)"),"10099849356")</f>
        <v>10099849356</v>
      </c>
      <c r="D22" s="37" t="str">
        <f>IFERROR(__xludf.DUMMYFUNCTION("""COMPUTED_VALUE"""),"Schmidsberger")</f>
        <v>Schmidsberger</v>
      </c>
      <c r="E22" s="37" t="str">
        <f>IFERROR(__xludf.DUMMYFUNCTION("""COMPUTED_VALUE"""),"Daniela")</f>
        <v>Daniela</v>
      </c>
      <c r="F22" s="37" t="str">
        <f>IFERROR(__xludf.DUMMYFUNCTION("""COMPUTED_VALUE"""),"AUT")</f>
        <v>AUT</v>
      </c>
      <c r="G22" s="37" t="str">
        <f>IFERROR(__xludf.DUMMYFUNCTION("""COMPUTED_VALUE"""),"RCO BOA WELS")</f>
        <v>RCO BOA WELS</v>
      </c>
      <c r="H22" s="37" t="str">
        <f>IFERROR(__xludf.DUMMYFUNCTION("""COMPUTED_VALUE"""),"F*EL")</f>
        <v>F*EL</v>
      </c>
      <c r="I22" s="40" t="s">
        <v>36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254.0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)"),"10172527618")</f>
        <v>10172527618</v>
      </c>
      <c r="D23" s="37" t="str">
        <f>IFERROR(__xludf.DUMMYFUNCTION("""COMPUTED_VALUE"""),"Brádlerová")</f>
        <v>Brádlerová</v>
      </c>
      <c r="E23" s="37" t="str">
        <f>IFERROR(__xludf.DUMMYFUNCTION("""COMPUTED_VALUE"""),"Alica")</f>
        <v>Alica</v>
      </c>
      <c r="F23" s="37" t="str">
        <f>IFERROR(__xludf.DUMMYFUNCTION("""COMPUTED_VALUE"""),"SVK")</f>
        <v>SVK</v>
      </c>
      <c r="G23" s="37" t="str">
        <f>IFERROR(__xludf.DUMMYFUNCTION("""COMPUTED_VALUE"""),"Optika Oros Cycling Team")</f>
        <v>Optika Oros Cycling Team</v>
      </c>
      <c r="H23" s="37" t="str">
        <f>IFERROR(__xludf.DUMMYFUNCTION("""COMPUTED_VALUE"""),"F*EL")</f>
        <v>F*EL</v>
      </c>
      <c r="I23" s="40" t="s">
        <v>36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249.0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)"),"10068768132")</f>
        <v>10068768132</v>
      </c>
      <c r="D24" s="37" t="str">
        <f>IFERROR(__xludf.DUMMYFUNCTION("""COMPUTED_VALUE"""),"Józkowicz")</f>
        <v>Józkowicz</v>
      </c>
      <c r="E24" s="37" t="str">
        <f>IFERROR(__xludf.DUMMYFUNCTION("""COMPUTED_VALUE"""),"Maja")</f>
        <v>Maja</v>
      </c>
      <c r="F24" s="37" t="str">
        <f>IFERROR(__xludf.DUMMYFUNCTION("""COMPUTED_VALUE"""),"POL")</f>
        <v>POL</v>
      </c>
      <c r="G24" s="37" t="str">
        <f>IFERROR(__xludf.DUMMYFUNCTION("""COMPUTED_VALUE"""),"Klub Kolarski Ziemia Darłowska")</f>
        <v>Klub Kolarski Ziemia Darłowska</v>
      </c>
      <c r="H24" s="37" t="str">
        <f>IFERROR(__xludf.DUMMYFUNCTION("""COMPUTED_VALUE"""),"F*EL")</f>
        <v>F*EL</v>
      </c>
      <c r="I24" s="40" t="s">
        <v>36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242.0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)"),"10047337394")</f>
        <v>10047337394</v>
      </c>
      <c r="D25" s="37" t="str">
        <f>IFERROR(__xludf.DUMMYFUNCTION("""COMPUTED_VALUE"""),"Mitrychová")</f>
        <v>Mitrychová</v>
      </c>
      <c r="E25" s="37" t="str">
        <f>IFERROR(__xludf.DUMMYFUNCTION("""COMPUTED_VALUE"""),"Michaela")</f>
        <v>Michaela</v>
      </c>
      <c r="F25" s="37" t="str">
        <f>IFERROR(__xludf.DUMMYFUNCTION("""COMPUTED_VALUE"""),"CZE")</f>
        <v>CZE</v>
      </c>
      <c r="G25" s="37" t="str">
        <f>IFERROR(__xludf.DUMMYFUNCTION("""COMPUTED_VALUE"""),"Cyklistika Plzeň")</f>
        <v>Cyklistika Plzeň</v>
      </c>
      <c r="H25" s="37" t="str">
        <f>IFERROR(__xludf.DUMMYFUNCTION("""COMPUTED_VALUE"""),"F*EL")</f>
        <v>F*EL</v>
      </c>
      <c r="I25" s="40" t="s">
        <v>36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248.0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)"),"10170489305")</f>
        <v>10170489305</v>
      </c>
      <c r="D26" s="37" t="str">
        <f>IFERROR(__xludf.DUMMYFUNCTION("""COMPUTED_VALUE"""),"Žaludková")</f>
        <v>Žaludková</v>
      </c>
      <c r="E26" s="37" t="str">
        <f>IFERROR(__xludf.DUMMYFUNCTION("""COMPUTED_VALUE"""),"Barbora")</f>
        <v>Barbora</v>
      </c>
      <c r="F26" s="37" t="str">
        <f>IFERROR(__xludf.DUMMYFUNCTION("""COMPUTED_VALUE"""),"CZE")</f>
        <v>CZE</v>
      </c>
      <c r="G26" s="37" t="str">
        <f>IFERROR(__xludf.DUMMYFUNCTION("""COMPUTED_VALUE"""),"FORCE cycling team Zlín")</f>
        <v>FORCE cycling team Zlín</v>
      </c>
      <c r="H26" s="37" t="str">
        <f>IFERROR(__xludf.DUMMYFUNCTION("""COMPUTED_VALUE"""),"F*EL")</f>
        <v>F*EL</v>
      </c>
      <c r="I26" s="40" t="s">
        <v>36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253.0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)"),"10137608628")</f>
        <v>10137608628</v>
      </c>
      <c r="D27" s="37" t="str">
        <f>IFERROR(__xludf.DUMMYFUNCTION("""COMPUTED_VALUE"""),"Kleiberová")</f>
        <v>Kleiberová</v>
      </c>
      <c r="E27" s="37" t="str">
        <f>IFERROR(__xludf.DUMMYFUNCTION("""COMPUTED_VALUE"""),"Eliška")</f>
        <v>Eliška</v>
      </c>
      <c r="F27" s="37" t="str">
        <f>IFERROR(__xludf.DUMMYFUNCTION("""COMPUTED_VALUE"""),"CZE")</f>
        <v>CZE</v>
      </c>
      <c r="G27" s="37" t="str">
        <f>IFERROR(__xludf.DUMMYFUNCTION("""COMPUTED_VALUE"""),"Open Cycling Academy")</f>
        <v>Open Cycling Academy</v>
      </c>
      <c r="H27" s="37" t="str">
        <f>IFERROR(__xludf.DUMMYFUNCTION("""COMPUTED_VALUE"""),"F*EL")</f>
        <v>F*EL</v>
      </c>
      <c r="I27" s="40" t="s">
        <v>36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 t="s">
        <v>37</v>
      </c>
      <c r="B28" s="35">
        <v>261.0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)"),"10046049924")</f>
        <v>10046049924</v>
      </c>
      <c r="D28" s="37" t="str">
        <f>IFERROR(__xludf.DUMMYFUNCTION("""COMPUTED_VALUE"""),"Birošová")</f>
        <v>Birošová</v>
      </c>
      <c r="E28" s="37" t="str">
        <f>IFERROR(__xludf.DUMMYFUNCTION("""COMPUTED_VALUE"""),"Tereza")</f>
        <v>Tereza</v>
      </c>
      <c r="F28" s="37" t="str">
        <f>IFERROR(__xludf.DUMMYFUNCTION("""COMPUTED_VALUE"""),"SVK")</f>
        <v>SVK</v>
      </c>
      <c r="G28" s="37" t="str">
        <f>IFERROR(__xludf.DUMMYFUNCTION("""COMPUTED_VALUE"""),"CKM Poprad")</f>
        <v>CKM Poprad</v>
      </c>
      <c r="H28" s="37" t="str">
        <f>IFERROR(__xludf.DUMMYFUNCTION("""COMPUTED_VALUE"""),"F*EL")</f>
        <v>F*EL</v>
      </c>
      <c r="I28" s="40" t="s">
        <v>36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 t="s">
        <v>37</v>
      </c>
      <c r="B29" s="35">
        <v>241.0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)"),"10172855091")</f>
        <v>10172855091</v>
      </c>
      <c r="D29" s="37" t="str">
        <f>IFERROR(__xludf.DUMMYFUNCTION("""COMPUTED_VALUE"""),"Humpolíková")</f>
        <v>Humpolíková</v>
      </c>
      <c r="E29" s="37" t="str">
        <f>IFERROR(__xludf.DUMMYFUNCTION("""COMPUTED_VALUE"""),"Klára")</f>
        <v>Klára</v>
      </c>
      <c r="F29" s="37" t="str">
        <f>IFERROR(__xludf.DUMMYFUNCTION("""COMPUTED_VALUE"""),"CZE")</f>
        <v>CZE</v>
      </c>
      <c r="G29" s="37" t="str">
        <f>IFERROR(__xludf.DUMMYFUNCTION("""COMPUTED_VALUE"""),"Cycle Community Team")</f>
        <v>Cycle Community Team</v>
      </c>
      <c r="H29" s="37" t="str">
        <f>IFERROR(__xludf.DUMMYFUNCTION("""COMPUTED_VALUE"""),"F*EL")</f>
        <v>F*EL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 t="s">
        <v>37</v>
      </c>
      <c r="B30" s="35">
        <v>246.0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)"),"10066429119")</f>
        <v>10066429119</v>
      </c>
      <c r="D30" s="37" t="str">
        <f>IFERROR(__xludf.DUMMYFUNCTION("""COMPUTED_VALUE"""),"Strakatá")</f>
        <v>Strakatá</v>
      </c>
      <c r="E30" s="37" t="str">
        <f>IFERROR(__xludf.DUMMYFUNCTION("""COMPUTED_VALUE"""),"Vendula")</f>
        <v>Vendula</v>
      </c>
      <c r="F30" s="37" t="str">
        <f>IFERROR(__xludf.DUMMYFUNCTION("""COMPUTED_VALUE"""),"CZE")</f>
        <v>CZE</v>
      </c>
      <c r="G30" s="37" t="str">
        <f>IFERROR(__xludf.DUMMYFUNCTION("""COMPUTED_VALUE"""),"Dukla Women Cycling")</f>
        <v>Dukla Women Cycling</v>
      </c>
      <c r="H30" s="37" t="str">
        <f>IFERROR(__xludf.DUMMYFUNCTION("""COMPUTED_VALUE"""),"F*EL")</f>
        <v>F*EL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 t="s">
        <v>37</v>
      </c>
      <c r="B31" s="35">
        <v>257.0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)"),"10059561014")</f>
        <v>10059561014</v>
      </c>
      <c r="D31" s="37" t="str">
        <f>IFERROR(__xludf.DUMMYFUNCTION("""COMPUTED_VALUE"""),"Panušová")</f>
        <v>Panušová</v>
      </c>
      <c r="E31" s="37" t="str">
        <f>IFERROR(__xludf.DUMMYFUNCTION("""COMPUTED_VALUE"""),"Anna")</f>
        <v>Anna</v>
      </c>
      <c r="F31" s="37" t="str">
        <f>IFERROR(__xludf.DUMMYFUNCTION("""COMPUTED_VALUE"""),"CZE")</f>
        <v>CZE</v>
      </c>
      <c r="G31" s="37" t="str">
        <f>IFERROR(__xludf.DUMMYFUNCTION("""COMPUTED_VALUE"""),"RÉVVI-EGS GROUP-VELOPRO")</f>
        <v>RÉVVI-EGS GROUP-VELOPRO</v>
      </c>
      <c r="H31" s="37" t="str">
        <f>IFERROR(__xludf.DUMMYFUNCTION("""COMPUTED_VALUE"""),"F*EL")</f>
        <v>F*EL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 t="s">
        <v>39</v>
      </c>
      <c r="B32" s="38"/>
      <c r="C32" s="41">
        <v>1.0092948212E10</v>
      </c>
      <c r="D32" s="41" t="s">
        <v>40</v>
      </c>
      <c r="E32" s="41" t="s">
        <v>41</v>
      </c>
      <c r="F32" s="41" t="s">
        <v>42</v>
      </c>
      <c r="G32" s="41" t="s">
        <v>43</v>
      </c>
      <c r="H32" s="41" t="s">
        <v>17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 t="s">
        <v>39</v>
      </c>
      <c r="B33" s="38"/>
      <c r="C33" s="41">
        <v>1.0047417725E10</v>
      </c>
      <c r="D33" s="41" t="s">
        <v>44</v>
      </c>
      <c r="E33" s="41" t="s">
        <v>45</v>
      </c>
      <c r="F33" s="41" t="s">
        <v>42</v>
      </c>
      <c r="G33" s="41" t="s">
        <v>46</v>
      </c>
      <c r="H33" s="41" t="s">
        <v>17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 t="s">
        <v>39</v>
      </c>
      <c r="B34" s="38"/>
      <c r="C34" s="41">
        <v>1.0128146579E10</v>
      </c>
      <c r="D34" s="41" t="s">
        <v>47</v>
      </c>
      <c r="E34" s="41" t="s">
        <v>48</v>
      </c>
      <c r="F34" s="41" t="s">
        <v>49</v>
      </c>
      <c r="G34" s="41" t="s">
        <v>50</v>
      </c>
      <c r="H34" s="41" t="s">
        <v>17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 t="s">
        <v>39</v>
      </c>
      <c r="B35" s="38"/>
      <c r="C35" s="41">
        <v>1.0052355631E10</v>
      </c>
      <c r="D35" s="41" t="s">
        <v>51</v>
      </c>
      <c r="E35" s="41" t="s">
        <v>52</v>
      </c>
      <c r="F35" s="41" t="s">
        <v>42</v>
      </c>
      <c r="G35" s="41" t="s">
        <v>53</v>
      </c>
      <c r="H35" s="41" t="s">
        <v>17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4.0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14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20</v>
      </c>
      <c r="C9" s="21"/>
      <c r="D9" s="23" t="s">
        <v>18</v>
      </c>
      <c r="E9" s="24">
        <v>56.0</v>
      </c>
      <c r="F9" s="21"/>
      <c r="G9" s="23" t="s">
        <v>21</v>
      </c>
      <c r="H9" s="25">
        <f>IF(OR(E9="",E10=""),"",(E9/(E10*24)))</f>
        <v>36.50851141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>
        <v>0.06391203703703703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21.0</v>
      </c>
      <c r="D12" s="18" t="s">
        <v>25</v>
      </c>
      <c r="E12" s="26">
        <v>18.0</v>
      </c>
      <c r="F12" s="28"/>
      <c r="G12" s="18" t="s">
        <v>26</v>
      </c>
      <c r="H12" s="29"/>
      <c r="I12" s="16">
        <v>16.0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157.0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)"),"10096132640")</f>
        <v>10096132640</v>
      </c>
      <c r="D15" s="37" t="str">
        <f>IFERROR(__xludf.DUMMYFUNCTION("""COMPUTED_VALUE"""),"Krátká")</f>
        <v>Krátká</v>
      </c>
      <c r="E15" s="37" t="str">
        <f>IFERROR(__xludf.DUMMYFUNCTION("""COMPUTED_VALUE"""),"Zuzka")</f>
        <v>Zuzka</v>
      </c>
      <c r="F15" s="37" t="str">
        <f>IFERROR(__xludf.DUMMYFUNCTION("""COMPUTED_VALUE"""),"CZE")</f>
        <v>CZE</v>
      </c>
      <c r="G15" s="37" t="str">
        <f>IFERROR(__xludf.DUMMYFUNCTION("""COMPUTED_VALUE"""),"Superior Team Jeseník")</f>
        <v>Superior Team Jeseník</v>
      </c>
      <c r="H15" s="37" t="str">
        <f>IFERROR(__xludf.DUMMYFUNCTION("""COMPUTED_VALUE"""),"F*JUN")</f>
        <v>F*JUN</v>
      </c>
      <c r="I15" s="39">
        <v>0.06391203703703703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156.0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)"),"10106025327")</f>
        <v>10106025327</v>
      </c>
      <c r="D16" s="37" t="str">
        <f>IFERROR(__xludf.DUMMYFUNCTION("""COMPUTED_VALUE"""),"Sitkova")</f>
        <v>Sitkova</v>
      </c>
      <c r="E16" s="37" t="str">
        <f>IFERROR(__xludf.DUMMYFUNCTION("""COMPUTED_VALUE"""),"Linda")</f>
        <v>Linda</v>
      </c>
      <c r="F16" s="37" t="str">
        <f>IFERROR(__xludf.DUMMYFUNCTION("""COMPUTED_VALUE"""),"CZE")</f>
        <v>CZE</v>
      </c>
      <c r="G16" s="37" t="str">
        <f>IFERROR(__xludf.DUMMYFUNCTION("""COMPUTED_VALUE"""),"MAT ATOM DEWELOPER WROCŁAW JUNIOR TEAM")</f>
        <v>MAT ATOM DEWELOPER WROCŁAW JUNIOR TEAM</v>
      </c>
      <c r="H16" s="37" t="str">
        <f>IFERROR(__xludf.DUMMYFUNCTION("""COMPUTED_VALUE"""),"F*JUN")</f>
        <v>F*JUN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150.0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)"),"10080773395")</f>
        <v>10080773395</v>
      </c>
      <c r="D17" s="37" t="str">
        <f>IFERROR(__xludf.DUMMYFUNCTION("""COMPUTED_VALUE"""),"Lujza")</f>
        <v>Lujza</v>
      </c>
      <c r="E17" s="37" t="str">
        <f>IFERROR(__xludf.DUMMYFUNCTION("""COMPUTED_VALUE"""),"Bartošíková")</f>
        <v>Bartošíková</v>
      </c>
      <c r="F17" s="37" t="str">
        <f>IFERROR(__xludf.DUMMYFUNCTION("""COMPUTED_VALUE"""),"SVK")</f>
        <v>SVK</v>
      </c>
      <c r="G17" s="37" t="str">
        <f>IFERROR(__xludf.DUMMYFUNCTION("""COMPUTED_VALUE"""),"CLIMBERG SPORT TEAM")</f>
        <v>CLIMBERG SPORT TEAM</v>
      </c>
      <c r="H17" s="37" t="str">
        <f>IFERROR(__xludf.DUMMYFUNCTION("""COMPUTED_VALUE"""),"F*JUN")</f>
        <v>F*JUN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147.0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)"),"10076625637")</f>
        <v>10076625637</v>
      </c>
      <c r="D18" s="37" t="str">
        <f>IFERROR(__xludf.DUMMYFUNCTION("""COMPUTED_VALUE"""),"HAJDUKOVÁ")</f>
        <v>HAJDUKOVÁ</v>
      </c>
      <c r="E18" s="37" t="str">
        <f>IFERROR(__xludf.DUMMYFUNCTION("""COMPUTED_VALUE"""),"Karolína")</f>
        <v>Karolína</v>
      </c>
      <c r="F18" s="37" t="str">
        <f>IFERROR(__xludf.DUMMYFUNCTION("""COMPUTED_VALUE"""),"SVK")</f>
        <v>SVK</v>
      </c>
      <c r="G18" s="37" t="str">
        <f>IFERROR(__xludf.DUMMYFUNCTION("""COMPUTED_VALUE"""),"CK EPIC Dohňany")</f>
        <v>CK EPIC Dohňany</v>
      </c>
      <c r="H18" s="37" t="str">
        <f>IFERROR(__xludf.DUMMYFUNCTION("""COMPUTED_VALUE"""),"F*JUN")</f>
        <v>F*JUN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141.0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)"),"10123999629")</f>
        <v>10123999629</v>
      </c>
      <c r="D19" s="37" t="str">
        <f>IFERROR(__xludf.DUMMYFUNCTION("""COMPUTED_VALUE"""),"Němcová")</f>
        <v>Němcová</v>
      </c>
      <c r="E19" s="37" t="str">
        <f>IFERROR(__xludf.DUMMYFUNCTION("""COMPUTED_VALUE"""),"Natálie")</f>
        <v>Natálie</v>
      </c>
      <c r="F19" s="37" t="str">
        <f>IFERROR(__xludf.DUMMYFUNCTION("""COMPUTED_VALUE"""),"CZE")</f>
        <v>CZE</v>
      </c>
      <c r="G19" s="37" t="str">
        <f>IFERROR(__xludf.DUMMYFUNCTION("""COMPUTED_VALUE"""),"SPORTCOMPLEX Břeclav")</f>
        <v>SPORTCOMPLEX Břeclav</v>
      </c>
      <c r="H19" s="37" t="str">
        <f>IFERROR(__xludf.DUMMYFUNCTION("""COMPUTED_VALUE"""),"F*JUN")</f>
        <v>F*JUN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158.0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)"),"10092893143")</f>
        <v>10092893143</v>
      </c>
      <c r="D20" s="37" t="str">
        <f>IFERROR(__xludf.DUMMYFUNCTION("""COMPUTED_VALUE"""),"Dubcová")</f>
        <v>Dubcová</v>
      </c>
      <c r="E20" s="37" t="str">
        <f>IFERROR(__xludf.DUMMYFUNCTION("""COMPUTED_VALUE"""),"Anna")</f>
        <v>Anna</v>
      </c>
      <c r="F20" s="37" t="str">
        <f>IFERROR(__xludf.DUMMYFUNCTION("""COMPUTED_VALUE"""),"CZE")</f>
        <v>CZE</v>
      </c>
      <c r="G20" s="37" t="str">
        <f>IFERROR(__xludf.DUMMYFUNCTION("""COMPUTED_VALUE"""),"Team Forman Energetic")</f>
        <v>Team Forman Energetic</v>
      </c>
      <c r="H20" s="37" t="str">
        <f>IFERROR(__xludf.DUMMYFUNCTION("""COMPUTED_VALUE"""),"F*JUN")</f>
        <v>F*JUN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151.0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)"),"10093459783")</f>
        <v>10093459783</v>
      </c>
      <c r="D21" s="37" t="str">
        <f>IFERROR(__xludf.DUMMYFUNCTION("""COMPUTED_VALUE"""),"Jirásková")</f>
        <v>Jirásková</v>
      </c>
      <c r="E21" s="37" t="str">
        <f>IFERROR(__xludf.DUMMYFUNCTION("""COMPUTED_VALUE"""),"Ema")</f>
        <v>Ema</v>
      </c>
      <c r="F21" s="37" t="str">
        <f>IFERROR(__xludf.DUMMYFUNCTION("""COMPUTED_VALUE"""),"CZE")</f>
        <v>CZE</v>
      </c>
      <c r="G21" s="37" t="str">
        <f>IFERROR(__xludf.DUMMYFUNCTION("""COMPUTED_VALUE"""),"Cyklostar Pirelli")</f>
        <v>Cyklostar Pirelli</v>
      </c>
      <c r="H21" s="37" t="str">
        <f>IFERROR(__xludf.DUMMYFUNCTION("""COMPUTED_VALUE"""),"F*JUN")</f>
        <v>F*JUN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153.0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)"),"10154704068")</f>
        <v>10154704068</v>
      </c>
      <c r="D22" s="37" t="str">
        <f>IFERROR(__xludf.DUMMYFUNCTION("""COMPUTED_VALUE"""),"Výdová")</f>
        <v>Výdová</v>
      </c>
      <c r="E22" s="37" t="str">
        <f>IFERROR(__xludf.DUMMYFUNCTION("""COMPUTED_VALUE"""),"Thea")</f>
        <v>Thea</v>
      </c>
      <c r="F22" s="37" t="str">
        <f>IFERROR(__xludf.DUMMYFUNCTION("""COMPUTED_VALUE"""),"CZE")</f>
        <v>CZE</v>
      </c>
      <c r="G22" s="37" t="str">
        <f>IFERROR(__xludf.DUMMYFUNCTION("""COMPUTED_VALUE"""),"FIEGE VELO AKADEMIE")</f>
        <v>FIEGE VELO AKADEMIE</v>
      </c>
      <c r="H22" s="37" t="str">
        <f>IFERROR(__xludf.DUMMYFUNCTION("""COMPUTED_VALUE"""),"F*JUN")</f>
        <v>F*JUN</v>
      </c>
      <c r="I22" s="40" t="s">
        <v>36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42">
        <v>143.0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)"),"10152360712")</f>
        <v>10152360712</v>
      </c>
      <c r="D23" s="37" t="str">
        <f>IFERROR(__xludf.DUMMYFUNCTION("""COMPUTED_VALUE"""),"Malá")</f>
        <v>Malá</v>
      </c>
      <c r="E23" s="37" t="str">
        <f>IFERROR(__xludf.DUMMYFUNCTION("""COMPUTED_VALUE"""),"Anna")</f>
        <v>Anna</v>
      </c>
      <c r="F23" s="37" t="str">
        <f>IFERROR(__xludf.DUMMYFUNCTION("""COMPUTED_VALUE"""),"CZE")</f>
        <v>CZE</v>
      </c>
      <c r="G23" s="37" t="str">
        <f>IFERROR(__xludf.DUMMYFUNCTION("""COMPUTED_VALUE"""),"BB Com Devcity")</f>
        <v>BB Com Devcity</v>
      </c>
      <c r="H23" s="37" t="str">
        <f>IFERROR(__xludf.DUMMYFUNCTION("""COMPUTED_VALUE"""),"F*JUN")</f>
        <v>F*JUN</v>
      </c>
      <c r="I23" s="40" t="s">
        <v>36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42">
        <v>159.0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)"),"10104249924")</f>
        <v>10104249924</v>
      </c>
      <c r="D24" s="37" t="str">
        <f>IFERROR(__xludf.DUMMYFUNCTION("""COMPUTED_VALUE"""),"Jahodová")</f>
        <v>Jahodová</v>
      </c>
      <c r="E24" s="37" t="str">
        <f>IFERROR(__xludf.DUMMYFUNCTION("""COMPUTED_VALUE"""),"Tereza")</f>
        <v>Tereza</v>
      </c>
      <c r="F24" s="37" t="str">
        <f>IFERROR(__xludf.DUMMYFUNCTION("""COMPUTED_VALUE"""),"CZE")</f>
        <v>CZE</v>
      </c>
      <c r="G24" s="37" t="str">
        <f>IFERROR(__xludf.DUMMYFUNCTION("""COMPUTED_VALUE"""),"Team Forman Energetic")</f>
        <v>Team Forman Energetic</v>
      </c>
      <c r="H24" s="37" t="str">
        <f>IFERROR(__xludf.DUMMYFUNCTION("""COMPUTED_VALUE"""),"F*JUN")</f>
        <v>F*JUN</v>
      </c>
      <c r="I24" s="40" t="s">
        <v>36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42">
        <v>146.0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 t="str">
        <f>IFERROR(__xludf.DUMMYFUNCTION("""COMPUTED_VALUE"""),"Kračmarová")</f>
        <v>Kračmarová</v>
      </c>
      <c r="E25" s="37" t="str">
        <f>IFERROR(__xludf.DUMMYFUNCTION("""COMPUTED_VALUE"""),"Anna")</f>
        <v>Anna</v>
      </c>
      <c r="F25" s="37" t="str">
        <f>IFERROR(__xludf.DUMMYFUNCTION("""COMPUTED_VALUE"""),"CZE")</f>
        <v>CZE</v>
      </c>
      <c r="G25" s="37" t="str">
        <f>IFERROR(__xludf.DUMMYFUNCTION("""COMPUTED_VALUE"""),"BRILON RACING TEAM MB")</f>
        <v>BRILON RACING TEAM MB</v>
      </c>
      <c r="H25" s="37" t="str">
        <f>IFERROR(__xludf.DUMMYFUNCTION("""COMPUTED_VALUE"""),"F*JUN")</f>
        <v>F*JUN</v>
      </c>
      <c r="I25" s="40" t="s">
        <v>36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42">
        <v>144.0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)"),"10104519403")</f>
        <v>10104519403</v>
      </c>
      <c r="D26" s="37" t="str">
        <f>IFERROR(__xludf.DUMMYFUNCTION("""COMPUTED_VALUE"""),"Jaklová")</f>
        <v>Jaklová</v>
      </c>
      <c r="E26" s="37" t="str">
        <f>IFERROR(__xludf.DUMMYFUNCTION("""COMPUTED_VALUE"""),"Ema Magdaléna")</f>
        <v>Ema Magdaléna</v>
      </c>
      <c r="F26" s="37" t="str">
        <f>IFERROR(__xludf.DUMMYFUNCTION("""COMPUTED_VALUE"""),"CZE")</f>
        <v>CZE</v>
      </c>
      <c r="G26" s="37" t="str">
        <f>IFERROR(__xludf.DUMMYFUNCTION("""COMPUTED_VALUE"""),"BIKE PRO RACING")</f>
        <v>BIKE PRO RACING</v>
      </c>
      <c r="H26" s="37" t="str">
        <f>IFERROR(__xludf.DUMMYFUNCTION("""COMPUTED_VALUE"""),"F*JUN")</f>
        <v>F*JUN</v>
      </c>
      <c r="I26" s="40" t="s">
        <v>36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42">
        <v>155.0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)"),"10157618516")</f>
        <v>10157618516</v>
      </c>
      <c r="D27" s="37" t="str">
        <f>IFERROR(__xludf.DUMMYFUNCTION("""COMPUTED_VALUE"""),"Mottlová")</f>
        <v>Mottlová</v>
      </c>
      <c r="E27" s="37" t="str">
        <f>IFERROR(__xludf.DUMMYFUNCTION("""COMPUTED_VALUE"""),"Anna")</f>
        <v>Anna</v>
      </c>
      <c r="F27" s="37" t="str">
        <f>IFERROR(__xludf.DUMMYFUNCTION("""COMPUTED_VALUE"""),"CZE")</f>
        <v>CZE</v>
      </c>
      <c r="G27" s="37" t="str">
        <f>IFERROR(__xludf.DUMMYFUNCTION("""COMPUTED_VALUE"""),"LAWI Junior team")</f>
        <v>LAWI Junior team</v>
      </c>
      <c r="H27" s="37" t="str">
        <f>IFERROR(__xludf.DUMMYFUNCTION("""COMPUTED_VALUE"""),"F*JUN")</f>
        <v>F*JUN</v>
      </c>
      <c r="I27" s="40" t="s">
        <v>36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42">
        <v>154.0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)"),"101 152 470 94")</f>
        <v>101 152 470 94</v>
      </c>
      <c r="D28" s="37" t="str">
        <f>IFERROR(__xludf.DUMMYFUNCTION("""COMPUTED_VALUE"""),"Leitner")</f>
        <v>Leitner</v>
      </c>
      <c r="E28" s="37" t="str">
        <f>IFERROR(__xludf.DUMMYFUNCTION("""COMPUTED_VALUE"""),"Klara")</f>
        <v>Klara</v>
      </c>
      <c r="F28" s="37" t="str">
        <f>IFERROR(__xludf.DUMMYFUNCTION("""COMPUTED_VALUE"""),"AUT")</f>
        <v>AUT</v>
      </c>
      <c r="G28" s="37" t="str">
        <f>IFERROR(__xludf.DUMMYFUNCTION("""COMPUTED_VALUE"""),"GranitBiker Kleinzell")</f>
        <v>GranitBiker Kleinzell</v>
      </c>
      <c r="H28" s="37" t="str">
        <f>IFERROR(__xludf.DUMMYFUNCTION("""COMPUTED_VALUE"""),"F*JUN")</f>
        <v>F*JUN</v>
      </c>
      <c r="I28" s="40" t="s">
        <v>36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42">
        <v>152.0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)"),"10091868882")</f>
        <v>10091868882</v>
      </c>
      <c r="D29" s="37" t="str">
        <f>IFERROR(__xludf.DUMMYFUNCTION("""COMPUTED_VALUE"""),"TURČEKOVÁ")</f>
        <v>TURČEKOVÁ</v>
      </c>
      <c r="E29" s="37" t="str">
        <f>IFERROR(__xludf.DUMMYFUNCTION("""COMPUTED_VALUE"""),"Alexandra")</f>
        <v>Alexandra</v>
      </c>
      <c r="F29" s="37" t="str">
        <f>IFERROR(__xludf.DUMMYFUNCTION("""COMPUTED_VALUE"""),"SVK")</f>
        <v>SVK</v>
      </c>
      <c r="G29" s="37" t="str">
        <f>IFERROR(__xludf.DUMMYFUNCTION("""COMPUTED_VALUE"""),"CyS - Akadémia Petra Sagana")</f>
        <v>CyS - Akadémia Petra Sagana</v>
      </c>
      <c r="H29" s="37" t="str">
        <f>IFERROR(__xludf.DUMMYFUNCTION("""COMPUTED_VALUE"""),"F*JUN")</f>
        <v>F*JUN</v>
      </c>
      <c r="I29" s="40" t="s">
        <v>36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142.0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)"),"10104976111")</f>
        <v>10104976111</v>
      </c>
      <c r="D30" s="37" t="str">
        <f>IFERROR(__xludf.DUMMYFUNCTION("""COMPUTED_VALUE"""),"Fiálková")</f>
        <v>Fiálková</v>
      </c>
      <c r="E30" s="37" t="str">
        <f>IFERROR(__xludf.DUMMYFUNCTION("""COMPUTED_VALUE"""),"Anna")</f>
        <v>Anna</v>
      </c>
      <c r="F30" s="37" t="str">
        <f>IFERROR(__xludf.DUMMYFUNCTION("""COMPUTED_VALUE"""),"CZE")</f>
        <v>CZE</v>
      </c>
      <c r="G30" s="37" t="str">
        <f>IFERROR(__xludf.DUMMYFUNCTION("""COMPUTED_VALUE"""),"ACS Drak Vrbno")</f>
        <v>ACS Drak Vrbno</v>
      </c>
      <c r="H30" s="37" t="str">
        <f>IFERROR(__xludf.DUMMYFUNCTION("""COMPUTED_VALUE"""),"F*JUN")</f>
        <v>F*JUN</v>
      </c>
      <c r="I30" s="40" t="s">
        <v>38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 t="s">
        <v>37</v>
      </c>
      <c r="B31" s="35">
        <v>149.0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)"),"10116521939")</f>
        <v>10116521939</v>
      </c>
      <c r="D31" s="37" t="str">
        <f>IFERROR(__xludf.DUMMYFUNCTION("""COMPUTED_VALUE"""),"Mečírová")</f>
        <v>Mečírová</v>
      </c>
      <c r="E31" s="37" t="str">
        <f>IFERROR(__xludf.DUMMYFUNCTION("""COMPUTED_VALUE"""),"Mária")</f>
        <v>Mária</v>
      </c>
      <c r="F31" s="37" t="str">
        <f>IFERROR(__xludf.DUMMYFUNCTION("""COMPUTED_VALUE"""),"SVK")</f>
        <v>SVK</v>
      </c>
      <c r="G31" s="37" t="str">
        <f>IFERROR(__xludf.DUMMYFUNCTION("""COMPUTED_VALUE"""),"CK Olympik Trnava")</f>
        <v>CK Olympik Trnava</v>
      </c>
      <c r="H31" s="37" t="str">
        <f>IFERROR(__xludf.DUMMYFUNCTION("""COMPUTED_VALUE"""),"F*JUN")</f>
        <v>F*JUN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 t="s">
        <v>37</v>
      </c>
      <c r="B32" s="35">
        <v>191.0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 t="str">
        <f>IFERROR(__xludf.DUMMYFUNCTION("""COMPUTED_VALUE"""),"Tanerová")</f>
        <v>Tanerová</v>
      </c>
      <c r="E32" s="37" t="str">
        <f>IFERROR(__xludf.DUMMYFUNCTION("""COMPUTED_VALUE"""),"Karolína")</f>
        <v>Karolína</v>
      </c>
      <c r="F32" s="37" t="str">
        <f>IFERROR(__xludf.DUMMYFUNCTION("""COMPUTED_VALUE"""),"CZE")</f>
        <v>CZE</v>
      </c>
      <c r="G32" s="37" t="str">
        <f>IFERROR(__xludf.DUMMYFUNCTION("""COMPUTED_VALUE"""),"VIF Cycling Team")</f>
        <v>VIF Cycling Team</v>
      </c>
      <c r="H32" s="37" t="str">
        <f>IFERROR(__xludf.DUMMYFUNCTION("""COMPUTED_VALUE"""),"F*JUN")</f>
        <v>F*JUN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 t="s">
        <v>39</v>
      </c>
      <c r="B33" s="38"/>
      <c r="C33" s="41">
        <v>1.0084771617E10</v>
      </c>
      <c r="D33" s="41" t="s">
        <v>54</v>
      </c>
      <c r="E33" s="41" t="s">
        <v>55</v>
      </c>
      <c r="F33" s="41" t="s">
        <v>42</v>
      </c>
      <c r="G33" s="41" t="s">
        <v>56</v>
      </c>
      <c r="H33" s="41" t="s">
        <v>20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 t="s">
        <v>39</v>
      </c>
      <c r="B34" s="38"/>
      <c r="C34" s="41">
        <v>1.00807735E10</v>
      </c>
      <c r="D34" s="41" t="s">
        <v>57</v>
      </c>
      <c r="E34" s="41" t="s">
        <v>58</v>
      </c>
      <c r="F34" s="41" t="s">
        <v>49</v>
      </c>
      <c r="G34" s="41" t="s">
        <v>59</v>
      </c>
      <c r="H34" s="41" t="s">
        <v>20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 t="s">
        <v>39</v>
      </c>
      <c r="B35" s="38"/>
      <c r="C35" s="41">
        <v>1.0161616027E10</v>
      </c>
      <c r="D35" s="41" t="s">
        <v>60</v>
      </c>
      <c r="E35" s="41" t="s">
        <v>55</v>
      </c>
      <c r="F35" s="41" t="s">
        <v>42</v>
      </c>
      <c r="G35" s="41" t="s">
        <v>61</v>
      </c>
      <c r="H35" s="41" t="s">
        <v>20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2.0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E5CD"/>
    <outlinePr summaryBelow="0" summaryRight="0"/>
  </sheetPr>
  <sheetViews>
    <sheetView workbookViewId="0"/>
  </sheetViews>
  <sheetFormatPr customHeight="1" defaultColWidth="12.63" defaultRowHeight="15.75"/>
  <cols>
    <col customWidth="1" min="1" max="2" width="10.25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13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19</v>
      </c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42.0</v>
      </c>
      <c r="D12" s="18" t="s">
        <v>25</v>
      </c>
      <c r="E12" s="26">
        <v>37.0</v>
      </c>
      <c r="F12" s="28"/>
      <c r="G12" s="18" t="s">
        <v>26</v>
      </c>
      <c r="H12" s="29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252.0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)"),"10067450548")</f>
        <v>10067450548</v>
      </c>
      <c r="D15" s="37" t="str">
        <f>IFERROR(__xludf.DUMMYFUNCTION("""COMPUTED_VALUE"""),"Ungerova")</f>
        <v>Ungerova</v>
      </c>
      <c r="E15" s="37" t="str">
        <f>IFERROR(__xludf.DUMMYFUNCTION("""COMPUTED_VALUE"""),"Sofia")</f>
        <v>Sofia</v>
      </c>
      <c r="F15" s="37" t="str">
        <f>IFERROR(__xludf.DUMMYFUNCTION("""COMPUTED_VALUE"""),"SVK")</f>
        <v>SVK</v>
      </c>
      <c r="G15" s="37" t="str">
        <f>IFERROR(__xludf.DUMMYFUNCTION("""COMPUTED_VALUE"""),"MAT ATOM DEWELOPER WROCŁAW")</f>
        <v>MAT ATOM DEWELOPER WROCŁAW</v>
      </c>
      <c r="H15" s="37" t="str">
        <f>IFERROR(__xludf.DUMMYFUNCTION("""COMPUTED_VALUE"""),"F*JUN*EL")</f>
        <v>F*JUN*EL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157.0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)"),"10096132640")</f>
        <v>10096132640</v>
      </c>
      <c r="D16" s="37" t="str">
        <f>IFERROR(__xludf.DUMMYFUNCTION("""COMPUTED_VALUE"""),"Krátká")</f>
        <v>Krátká</v>
      </c>
      <c r="E16" s="37" t="str">
        <f>IFERROR(__xludf.DUMMYFUNCTION("""COMPUTED_VALUE"""),"Zuzka")</f>
        <v>Zuzka</v>
      </c>
      <c r="F16" s="37" t="str">
        <f>IFERROR(__xludf.DUMMYFUNCTION("""COMPUTED_VALUE"""),"CZE")</f>
        <v>CZE</v>
      </c>
      <c r="G16" s="37" t="str">
        <f>IFERROR(__xludf.DUMMYFUNCTION("""COMPUTED_VALUE"""),"Superior Team Jeseník")</f>
        <v>Superior Team Jeseník</v>
      </c>
      <c r="H16" s="37" t="str">
        <f>IFERROR(__xludf.DUMMYFUNCTION("""COMPUTED_VALUE"""),"F*JUN*EL")</f>
        <v>F*JUN*EL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156.0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)"),"10106025327")</f>
        <v>10106025327</v>
      </c>
      <c r="D17" s="37" t="str">
        <f>IFERROR(__xludf.DUMMYFUNCTION("""COMPUTED_VALUE"""),"Sitkova")</f>
        <v>Sitkova</v>
      </c>
      <c r="E17" s="37" t="str">
        <f>IFERROR(__xludf.DUMMYFUNCTION("""COMPUTED_VALUE"""),"Linda")</f>
        <v>Linda</v>
      </c>
      <c r="F17" s="37" t="str">
        <f>IFERROR(__xludf.DUMMYFUNCTION("""COMPUTED_VALUE"""),"CZE")</f>
        <v>CZE</v>
      </c>
      <c r="G17" s="37" t="str">
        <f>IFERROR(__xludf.DUMMYFUNCTION("""COMPUTED_VALUE"""),"MAT ATOM DEWELOPER WROCŁAW JUNIOR TEAM")</f>
        <v>MAT ATOM DEWELOPER WROCŁAW JUNIOR TEAM</v>
      </c>
      <c r="H17" s="37" t="str">
        <f>IFERROR(__xludf.DUMMYFUNCTION("""COMPUTED_VALUE"""),"F*JUN*EL")</f>
        <v>F*JUN*EL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150.0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)"),"10080773395")</f>
        <v>10080773395</v>
      </c>
      <c r="D18" s="37" t="str">
        <f>IFERROR(__xludf.DUMMYFUNCTION("""COMPUTED_VALUE"""),"Lujza")</f>
        <v>Lujza</v>
      </c>
      <c r="E18" s="37" t="str">
        <f>IFERROR(__xludf.DUMMYFUNCTION("""COMPUTED_VALUE"""),"Bartošíková")</f>
        <v>Bartošíková</v>
      </c>
      <c r="F18" s="37" t="str">
        <f>IFERROR(__xludf.DUMMYFUNCTION("""COMPUTED_VALUE"""),"SVK")</f>
        <v>SVK</v>
      </c>
      <c r="G18" s="37" t="str">
        <f>IFERROR(__xludf.DUMMYFUNCTION("""COMPUTED_VALUE"""),"CLIMBERG SPORT TEAM")</f>
        <v>CLIMBERG SPORT TEAM</v>
      </c>
      <c r="H18" s="37" t="str">
        <f>IFERROR(__xludf.DUMMYFUNCTION("""COMPUTED_VALUE"""),"F*JUN*EL")</f>
        <v>F*JUN*EL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147.0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)"),"10076625637")</f>
        <v>10076625637</v>
      </c>
      <c r="D19" s="37" t="str">
        <f>IFERROR(__xludf.DUMMYFUNCTION("""COMPUTED_VALUE"""),"HAJDUKOVÁ")</f>
        <v>HAJDUKOVÁ</v>
      </c>
      <c r="E19" s="37" t="str">
        <f>IFERROR(__xludf.DUMMYFUNCTION("""COMPUTED_VALUE"""),"Karolína")</f>
        <v>Karolína</v>
      </c>
      <c r="F19" s="37" t="str">
        <f>IFERROR(__xludf.DUMMYFUNCTION("""COMPUTED_VALUE"""),"SVK")</f>
        <v>SVK</v>
      </c>
      <c r="G19" s="37" t="str">
        <f>IFERROR(__xludf.DUMMYFUNCTION("""COMPUTED_VALUE"""),"CK EPIC Dohňany")</f>
        <v>CK EPIC Dohňany</v>
      </c>
      <c r="H19" s="37" t="str">
        <f>IFERROR(__xludf.DUMMYFUNCTION("""COMPUTED_VALUE"""),"F*JUN*EL")</f>
        <v>F*JUN*EL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243.0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)"),"10047309914")</f>
        <v>10047309914</v>
      </c>
      <c r="D20" s="37" t="str">
        <f>IFERROR(__xludf.DUMMYFUNCTION("""COMPUTED_VALUE"""),"Němcová")</f>
        <v>Němcová</v>
      </c>
      <c r="E20" s="37" t="str">
        <f>IFERROR(__xludf.DUMMYFUNCTION("""COMPUTED_VALUE"""),"Barbora")</f>
        <v>Barbora</v>
      </c>
      <c r="F20" s="37" t="str">
        <f>IFERROR(__xludf.DUMMYFUNCTION("""COMPUTED_VALUE"""),"CZE")</f>
        <v>CZE</v>
      </c>
      <c r="G20" s="37" t="str">
        <f>IFERROR(__xludf.DUMMYFUNCTION("""COMPUTED_VALUE"""),"Dukla Women Cycling")</f>
        <v>Dukla Women Cycling</v>
      </c>
      <c r="H20" s="37" t="str">
        <f>IFERROR(__xludf.DUMMYFUNCTION("""COMPUTED_VALUE"""),"F*JUN*EL")</f>
        <v>F*JUN*EL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idden="1">
      <c r="A21" s="35">
        <v>7.0</v>
      </c>
      <c r="B21" s="35">
        <v>245.0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)"),"10072551031")</f>
        <v>10072551031</v>
      </c>
      <c r="D21" s="37" t="str">
        <f>IFERROR(__xludf.DUMMYFUNCTION("""COMPUTED_VALUE"""),"Hermanová")</f>
        <v>Hermanová</v>
      </c>
      <c r="E21" s="37" t="str">
        <f>IFERROR(__xludf.DUMMYFUNCTION("""COMPUTED_VALUE"""),"Beáta")</f>
        <v>Beáta</v>
      </c>
      <c r="F21" s="37" t="str">
        <f>IFERROR(__xludf.DUMMYFUNCTION("""COMPUTED_VALUE"""),"CZE")</f>
        <v>CZE</v>
      </c>
      <c r="G21" s="37" t="str">
        <f>IFERROR(__xludf.DUMMYFUNCTION("""COMPUTED_VALUE"""),"Dukla Women Cycling")</f>
        <v>Dukla Women Cycling</v>
      </c>
      <c r="H21" s="37" t="str">
        <f>IFERROR(__xludf.DUMMYFUNCTION("""COMPUTED_VALUE"""),"F*JUN*EL")</f>
        <v>F*JUN*EL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idden="1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idden="1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idden="1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idden="1">
      <c r="A25" s="35">
        <v>11.0</v>
      </c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idden="1">
      <c r="A26" s="35">
        <v>12.0</v>
      </c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idden="1">
      <c r="A27" s="35">
        <v>13.0</v>
      </c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idden="1">
      <c r="A28" s="35">
        <v>14.0</v>
      </c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5">
        <v>15.0</v>
      </c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5">
        <v>16.0</v>
      </c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5">
        <v>17.0</v>
      </c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5">
        <v>18.0</v>
      </c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5">
        <v>19.0</v>
      </c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5">
        <v>20.0</v>
      </c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79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80</v>
      </c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26.0</v>
      </c>
      <c r="D12" s="18" t="s">
        <v>25</v>
      </c>
      <c r="E12" s="26">
        <v>25.0</v>
      </c>
      <c r="F12" s="28"/>
      <c r="G12" s="18" t="s">
        <v>26</v>
      </c>
      <c r="H12" s="26">
        <v>23.0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724.0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)"),"")</f>
        <v/>
      </c>
      <c r="D15" s="37" t="str">
        <f>IFERROR(__xludf.DUMMYFUNCTION("""COMPUTED_VALUE"""),"Hraběta")</f>
        <v>Hraběta</v>
      </c>
      <c r="E15" s="37" t="str">
        <f>IFERROR(__xludf.DUMMYFUNCTION("""COMPUTED_VALUE"""),"Miroslav")</f>
        <v>Miroslav</v>
      </c>
      <c r="F15" s="37"/>
      <c r="G15" s="37" t="str">
        <f>IFERROR(__xludf.DUMMYFUNCTION("""COMPUTED_VALUE"""),"KCR Roudnice nad Labem")</f>
        <v>KCR Roudnice nad Labem</v>
      </c>
      <c r="H15" s="37" t="str">
        <f>IFERROR(__xludf.DUMMYFUNCTION("""COMPUTED_VALUE"""),"M50")</f>
        <v>M50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716.0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)"),"10125291143")</f>
        <v>10125291143</v>
      </c>
      <c r="D16" s="37" t="str">
        <f>IFERROR(__xludf.DUMMYFUNCTION("""COMPUTED_VALUE"""),"Bukač")</f>
        <v>Bukač</v>
      </c>
      <c r="E16" s="37" t="str">
        <f>IFERROR(__xludf.DUMMYFUNCTION("""COMPUTED_VALUE"""),"Roman")</f>
        <v>Roman</v>
      </c>
      <c r="F16" s="37" t="str">
        <f>IFERROR(__xludf.DUMMYFUNCTION("""COMPUTED_VALUE"""),"CZE")</f>
        <v>CZE</v>
      </c>
      <c r="G16" s="37" t="str">
        <f>IFERROR(__xludf.DUMMYFUNCTION("""COMPUTED_VALUE"""),"TFD")</f>
        <v>TFD</v>
      </c>
      <c r="H16" s="37" t="str">
        <f>IFERROR(__xludf.DUMMYFUNCTION("""COMPUTED_VALUE"""),"M50")</f>
        <v>M50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708.0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)"),"10095751007")</f>
        <v>10095751007</v>
      </c>
      <c r="D17" s="37" t="str">
        <f>IFERROR(__xludf.DUMMYFUNCTION("""COMPUTED_VALUE"""),"Hájek")</f>
        <v>Hájek</v>
      </c>
      <c r="E17" s="37" t="str">
        <f>IFERROR(__xludf.DUMMYFUNCTION("""COMPUTED_VALUE"""),"Pavel")</f>
        <v>Pavel</v>
      </c>
      <c r="F17" s="37" t="str">
        <f>IFERROR(__xludf.DUMMYFUNCTION("""COMPUTED_VALUE"""),"CZE")</f>
        <v>CZE</v>
      </c>
      <c r="G17" s="37" t="str">
        <f>IFERROR(__xludf.DUMMYFUNCTION("""COMPUTED_VALUE"""),"CYKLOSPORT CHROPYNĚ 4GOLD")</f>
        <v>CYKLOSPORT CHROPYNĚ 4GOLD</v>
      </c>
      <c r="H17" s="37" t="str">
        <f>IFERROR(__xludf.DUMMYFUNCTION("""COMPUTED_VALUE"""),"M50")</f>
        <v>M50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711.0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)"),"10170948740")</f>
        <v>10170948740</v>
      </c>
      <c r="D18" s="37" t="str">
        <f>IFERROR(__xludf.DUMMYFUNCTION("""COMPUTED_VALUE"""),"Trojan")</f>
        <v>Trojan</v>
      </c>
      <c r="E18" s="37" t="str">
        <f>IFERROR(__xludf.DUMMYFUNCTION("""COMPUTED_VALUE"""),"Tomáš")</f>
        <v>Tomáš</v>
      </c>
      <c r="F18" s="37" t="str">
        <f>IFERROR(__xludf.DUMMYFUNCTION("""COMPUTED_VALUE"""),"CZE")</f>
        <v>CZE</v>
      </c>
      <c r="G18" s="37" t="str">
        <f>IFERROR(__xludf.DUMMYFUNCTION("""COMPUTED_VALUE"""),"SK favorit Bilina")</f>
        <v>SK favorit Bilina</v>
      </c>
      <c r="H18" s="37" t="str">
        <f>IFERROR(__xludf.DUMMYFUNCTION("""COMPUTED_VALUE"""),"M50")</f>
        <v>M50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714.0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)"),"10163370212")</f>
        <v>10163370212</v>
      </c>
      <c r="D19" s="37" t="str">
        <f>IFERROR(__xludf.DUMMYFUNCTION("""COMPUTED_VALUE"""),"Bořek")</f>
        <v>Bořek</v>
      </c>
      <c r="E19" s="37" t="str">
        <f>IFERROR(__xludf.DUMMYFUNCTION("""COMPUTED_VALUE"""),"Michal")</f>
        <v>Michal</v>
      </c>
      <c r="F19" s="37" t="str">
        <f>IFERROR(__xludf.DUMMYFUNCTION("""COMPUTED_VALUE"""),"CZE")</f>
        <v>CZE</v>
      </c>
      <c r="G19" s="37" t="str">
        <f>IFERROR(__xludf.DUMMYFUNCTION("""COMPUTED_VALUE"""),"STREDECNI MONUMENTY")</f>
        <v>STREDECNI MONUMENTY</v>
      </c>
      <c r="H19" s="37" t="str">
        <f>IFERROR(__xludf.DUMMYFUNCTION("""COMPUTED_VALUE"""),"M50")</f>
        <v>M50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713.0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)"),"10138587318")</f>
        <v>10138587318</v>
      </c>
      <c r="D20" s="37" t="str">
        <f>IFERROR(__xludf.DUMMYFUNCTION("""COMPUTED_VALUE"""),"Jurča")</f>
        <v>Jurča</v>
      </c>
      <c r="E20" s="37" t="str">
        <f>IFERROR(__xludf.DUMMYFUNCTION("""COMPUTED_VALUE"""),"Libor")</f>
        <v>Libor</v>
      </c>
      <c r="F20" s="37" t="str">
        <f>IFERROR(__xludf.DUMMYFUNCTION("""COMPUTED_VALUE"""),"CZE")</f>
        <v>CZE</v>
      </c>
      <c r="G20" s="37" t="str">
        <f>IFERROR(__xludf.DUMMYFUNCTION("""COMPUTED_VALUE"""),"STREDECNI MONUMENTY")</f>
        <v>STREDECNI MONUMENTY</v>
      </c>
      <c r="H20" s="37" t="str">
        <f>IFERROR(__xludf.DUMMYFUNCTION("""COMPUTED_VALUE"""),"M50")</f>
        <v>M50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717.0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)"),"10046951115")</f>
        <v>10046951115</v>
      </c>
      <c r="D21" s="37" t="str">
        <f>IFERROR(__xludf.DUMMYFUNCTION("""COMPUTED_VALUE"""),"Frýzl")</f>
        <v>Frýzl</v>
      </c>
      <c r="E21" s="37" t="str">
        <f>IFERROR(__xludf.DUMMYFUNCTION("""COMPUTED_VALUE"""),"Martin")</f>
        <v>Martin</v>
      </c>
      <c r="F21" s="37" t="str">
        <f>IFERROR(__xludf.DUMMYFUNCTION("""COMPUTED_VALUE"""),"CZE")</f>
        <v>CZE</v>
      </c>
      <c r="G21" s="37" t="str">
        <f>IFERROR(__xludf.DUMMYFUNCTION("""COMPUTED_VALUE"""),"TJ Jiskra Jaroměř Potocký")</f>
        <v>TJ Jiskra Jaroměř Potocký</v>
      </c>
      <c r="H21" s="37" t="str">
        <f>IFERROR(__xludf.DUMMYFUNCTION("""COMPUTED_VALUE"""),"M50")</f>
        <v>M50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709.0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)"),"10048175133")</f>
        <v>10048175133</v>
      </c>
      <c r="D22" s="37" t="str">
        <f>IFERROR(__xludf.DUMMYFUNCTION("""COMPUTED_VALUE"""),"Kučera")</f>
        <v>Kučera</v>
      </c>
      <c r="E22" s="37" t="str">
        <f>IFERROR(__xludf.DUMMYFUNCTION("""COMPUTED_VALUE"""),"Vladimír")</f>
        <v>Vladimír</v>
      </c>
      <c r="F22" s="37" t="str">
        <f>IFERROR(__xludf.DUMMYFUNCTION("""COMPUTED_VALUE"""),"CZE")</f>
        <v>CZE</v>
      </c>
      <c r="G22" s="37" t="str">
        <f>IFERROR(__xludf.DUMMYFUNCTION("""COMPUTED_VALUE"""),"CYKLOSPORT CHROPYNĚ 4GOLD")</f>
        <v>CYKLOSPORT CHROPYNĚ 4GOLD</v>
      </c>
      <c r="H22" s="37" t="str">
        <f>IFERROR(__xludf.DUMMYFUNCTION("""COMPUTED_VALUE"""),"M50")</f>
        <v>M50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712.0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)"),"10083343390")</f>
        <v>10083343390</v>
      </c>
      <c r="D23" s="37" t="str">
        <f>IFERROR(__xludf.DUMMYFUNCTION("""COMPUTED_VALUE"""),"Gotthard")</f>
        <v>Gotthard</v>
      </c>
      <c r="E23" s="37" t="str">
        <f>IFERROR(__xludf.DUMMYFUNCTION("""COMPUTED_VALUE"""),"David")</f>
        <v>David</v>
      </c>
      <c r="F23" s="37" t="str">
        <f>IFERROR(__xludf.DUMMYFUNCTION("""COMPUTED_VALUE"""),"CZE")</f>
        <v>CZE</v>
      </c>
      <c r="G23" s="37" t="str">
        <f>IFERROR(__xludf.DUMMYFUNCTION("""COMPUTED_VALUE"""),"Sport Import")</f>
        <v>Sport Import</v>
      </c>
      <c r="H23" s="37" t="str">
        <f>IFERROR(__xludf.DUMMYFUNCTION("""COMPUTED_VALUE"""),"M50")</f>
        <v>M50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704.0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)"),"10001580878")</f>
        <v>10001580878</v>
      </c>
      <c r="D24" s="37" t="str">
        <f>IFERROR(__xludf.DUMMYFUNCTION("""COMPUTED_VALUE"""),"Kotzmann")</f>
        <v>Kotzmann</v>
      </c>
      <c r="E24" s="37" t="str">
        <f>IFERROR(__xludf.DUMMYFUNCTION("""COMPUTED_VALUE"""),"Wolfgang")</f>
        <v>Wolfgang</v>
      </c>
      <c r="F24" s="37" t="str">
        <f>IFERROR(__xludf.DUMMYFUNCTION("""COMPUTED_VALUE"""),"AUT")</f>
        <v>AUT</v>
      </c>
      <c r="G24" s="37" t="str">
        <f>IFERROR(__xludf.DUMMYFUNCTION("""COMPUTED_VALUE"""),"CK DUKLA BRATISLAVA")</f>
        <v>CK DUKLA BRATISLAVA</v>
      </c>
      <c r="H24" s="37" t="str">
        <f>IFERROR(__xludf.DUMMYFUNCTION("""COMPUTED_VALUE"""),"M50")</f>
        <v>M50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725.0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 t="str">
        <f>IFERROR(__xludf.DUMMYFUNCTION("""COMPUTED_VALUE"""),"Pláteník")</f>
        <v>Pláteník</v>
      </c>
      <c r="E25" s="37" t="str">
        <f>IFERROR(__xludf.DUMMYFUNCTION("""COMPUTED_VALUE"""),"Stanislav")</f>
        <v>Stanislav</v>
      </c>
      <c r="F25" s="37" t="str">
        <f>IFERROR(__xludf.DUMMYFUNCTION("""COMPUTED_VALUE"""),"CZE")</f>
        <v>CZE</v>
      </c>
      <c r="G25" s="37" t="str">
        <f>IFERROR(__xludf.DUMMYFUNCTION("""COMPUTED_VALUE"""),"Mikulov")</f>
        <v>Mikulov</v>
      </c>
      <c r="H25" s="37" t="str">
        <f>IFERROR(__xludf.DUMMYFUNCTION("""COMPUTED_VALUE"""),"M50")</f>
        <v>M50</v>
      </c>
      <c r="I25" s="40" t="s">
        <v>36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706.0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 t="str">
        <f>IFERROR(__xludf.DUMMYFUNCTION("""COMPUTED_VALUE"""),"Švarc")</f>
        <v>Švarc</v>
      </c>
      <c r="E26" s="37" t="str">
        <f>IFERROR(__xludf.DUMMYFUNCTION("""COMPUTED_VALUE"""),"Radek")</f>
        <v>Radek</v>
      </c>
      <c r="F26" s="37" t="str">
        <f>IFERROR(__xludf.DUMMYFUNCTION("""COMPUTED_VALUE"""),"CZE")</f>
        <v>CZE</v>
      </c>
      <c r="G26" s="37" t="str">
        <f>IFERROR(__xludf.DUMMYFUNCTION("""COMPUTED_VALUE"""),"Cyklo Fantoci")</f>
        <v>Cyklo Fantoci</v>
      </c>
      <c r="H26" s="37" t="str">
        <f>IFERROR(__xludf.DUMMYFUNCTION("""COMPUTED_VALUE"""),"M50")</f>
        <v>M50</v>
      </c>
      <c r="I26" s="40" t="s">
        <v>36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50">
        <v>718.0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 t="str">
        <f>IFERROR(__xludf.DUMMYFUNCTION("""COMPUTED_VALUE"""),"Guttenberg")</f>
        <v>Guttenberg</v>
      </c>
      <c r="E27" s="37" t="str">
        <f>IFERROR(__xludf.DUMMYFUNCTION("""COMPUTED_VALUE"""),"Aleš")</f>
        <v>Aleš</v>
      </c>
      <c r="F27" s="37" t="str">
        <f>IFERROR(__xludf.DUMMYFUNCTION("""COMPUTED_VALUE"""),"CZE")</f>
        <v>CZE</v>
      </c>
      <c r="G27" s="37" t="str">
        <f>IFERROR(__xludf.DUMMYFUNCTION("""COMPUTED_VALUE"""),"VARTA")</f>
        <v>VARTA</v>
      </c>
      <c r="H27" s="37" t="str">
        <f>IFERROR(__xludf.DUMMYFUNCTION("""COMPUTED_VALUE"""),"M50")</f>
        <v>M50</v>
      </c>
      <c r="I27" s="40" t="s">
        <v>36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50">
        <v>707.0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 t="str">
        <f>IFERROR(__xludf.DUMMYFUNCTION("""COMPUTED_VALUE"""),"Valeš")</f>
        <v>Valeš</v>
      </c>
      <c r="E28" s="37" t="str">
        <f>IFERROR(__xludf.DUMMYFUNCTION("""COMPUTED_VALUE"""),"Jan")</f>
        <v>Jan</v>
      </c>
      <c r="F28" s="37" t="str">
        <f>IFERROR(__xludf.DUMMYFUNCTION("""COMPUTED_VALUE"""),"CZE")</f>
        <v>CZE</v>
      </c>
      <c r="G28" s="37" t="str">
        <f>IFERROR(__xludf.DUMMYFUNCTION("""COMPUTED_VALUE"""),"Cyklo Fantoci")</f>
        <v>Cyklo Fantoci</v>
      </c>
      <c r="H28" s="37" t="str">
        <f>IFERROR(__xludf.DUMMYFUNCTION("""COMPUTED_VALUE"""),"M50")</f>
        <v>M50</v>
      </c>
      <c r="I28" s="40" t="s">
        <v>36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50">
        <v>543.0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 t="str">
        <f>IFERROR(__xludf.DUMMYFUNCTION("""COMPUTED_VALUE"""),"Pístovčák")</f>
        <v>Pístovčák</v>
      </c>
      <c r="E29" s="37" t="str">
        <f>IFERROR(__xludf.DUMMYFUNCTION("""COMPUTED_VALUE"""),"Roman")</f>
        <v>Roman</v>
      </c>
      <c r="F29" s="37" t="str">
        <f>IFERROR(__xludf.DUMMYFUNCTION("""COMPUTED_VALUE"""),"CZE")</f>
        <v>CZE</v>
      </c>
      <c r="G29" s="37" t="str">
        <f>IFERROR(__xludf.DUMMYFUNCTION("""COMPUTED_VALUE"""),"LOKO Břeclav")</f>
        <v>LOKO Břeclav</v>
      </c>
      <c r="H29" s="37" t="str">
        <f>IFERROR(__xludf.DUMMYFUNCTION("""COMPUTED_VALUE"""),"M50")</f>
        <v>M50</v>
      </c>
      <c r="I29" s="40" t="s">
        <v>36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50">
        <v>701.0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 t="str">
        <f>IFERROR(__xludf.DUMMYFUNCTION("""COMPUTED_VALUE"""),"Rumplík")</f>
        <v>Rumplík</v>
      </c>
      <c r="E30" s="37" t="str">
        <f>IFERROR(__xludf.DUMMYFUNCTION("""COMPUTED_VALUE"""),"Petr")</f>
        <v>Petr</v>
      </c>
      <c r="F30" s="37" t="str">
        <f>IFERROR(__xludf.DUMMYFUNCTION("""COMPUTED_VALUE"""),"CZE")</f>
        <v>CZE</v>
      </c>
      <c r="G30" s="37" t="str">
        <f>IFERROR(__xludf.DUMMYFUNCTION("""COMPUTED_VALUE"""),"ADC Brno")</f>
        <v>ADC Brno</v>
      </c>
      <c r="H30" s="37" t="str">
        <f>IFERROR(__xludf.DUMMYFUNCTION("""COMPUTED_VALUE"""),"M50")</f>
        <v>M50</v>
      </c>
      <c r="I30" s="40" t="s">
        <v>36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50">
        <v>705.0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)"),"10046013750")</f>
        <v>10046013750</v>
      </c>
      <c r="D31" s="37" t="str">
        <f>IFERROR(__xludf.DUMMYFUNCTION("""COMPUTED_VALUE"""),"Pobjecký")</f>
        <v>Pobjecký</v>
      </c>
      <c r="E31" s="37" t="str">
        <f>IFERROR(__xludf.DUMMYFUNCTION("""COMPUTED_VALUE"""),"Peter")</f>
        <v>Peter</v>
      </c>
      <c r="F31" s="37" t="str">
        <f>IFERROR(__xludf.DUMMYFUNCTION("""COMPUTED_VALUE"""),"SVK")</f>
        <v>SVK</v>
      </c>
      <c r="G31" s="37" t="str">
        <f>IFERROR(__xludf.DUMMYFUNCTION("""COMPUTED_VALUE"""),"CK Olympik Trnava")</f>
        <v>CK Olympik Trnava</v>
      </c>
      <c r="H31" s="37" t="str">
        <f>IFERROR(__xludf.DUMMYFUNCTION("""COMPUTED_VALUE"""),"M50")</f>
        <v>M50</v>
      </c>
      <c r="I31" s="40" t="s">
        <v>36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50">
        <v>702.0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)"),"10046770855")</f>
        <v>10046770855</v>
      </c>
      <c r="D32" s="37" t="str">
        <f>IFERROR(__xludf.DUMMYFUNCTION("""COMPUTED_VALUE"""),"Hrbotický")</f>
        <v>Hrbotický</v>
      </c>
      <c r="E32" s="37" t="str">
        <f>IFERROR(__xludf.DUMMYFUNCTION("""COMPUTED_VALUE"""),"Marek")</f>
        <v>Marek</v>
      </c>
      <c r="F32" s="37" t="str">
        <f>IFERROR(__xludf.DUMMYFUNCTION("""COMPUTED_VALUE"""),"CZE")</f>
        <v>CZE</v>
      </c>
      <c r="G32" s="37" t="str">
        <f>IFERROR(__xludf.DUMMYFUNCTION("""COMPUTED_VALUE"""),"Akademie dráhové cyklistiky")</f>
        <v>Akademie dráhové cyklistiky</v>
      </c>
      <c r="H32" s="37" t="str">
        <f>IFERROR(__xludf.DUMMYFUNCTION("""COMPUTED_VALUE"""),"M50")</f>
        <v>M50</v>
      </c>
      <c r="I32" s="40" t="s">
        <v>36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50">
        <v>721.0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)"),"10066351317")</f>
        <v>10066351317</v>
      </c>
      <c r="D33" s="37" t="str">
        <f>IFERROR(__xludf.DUMMYFUNCTION("""COMPUTED_VALUE"""),"Mastík")</f>
        <v>Mastík</v>
      </c>
      <c r="E33" s="37" t="str">
        <f>IFERROR(__xludf.DUMMYFUNCTION("""COMPUTED_VALUE"""),"Tomáš")</f>
        <v>Tomáš</v>
      </c>
      <c r="F33" s="37" t="str">
        <f>IFERROR(__xludf.DUMMYFUNCTION("""COMPUTED_VALUE"""),"CZE")</f>
        <v>CZE</v>
      </c>
      <c r="G33" s="37" t="str">
        <f>IFERROR(__xludf.DUMMYFUNCTION("""COMPUTED_VALUE"""),"VARTA")</f>
        <v>VARTA</v>
      </c>
      <c r="H33" s="37" t="str">
        <f>IFERROR(__xludf.DUMMYFUNCTION("""COMPUTED_VALUE"""),"M50")</f>
        <v>M50</v>
      </c>
      <c r="I33" s="40" t="s">
        <v>36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50">
        <v>723.0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 t="str">
        <f>IFERROR(__xludf.DUMMYFUNCTION("""COMPUTED_VALUE"""),"Dohnalek")</f>
        <v>Dohnalek</v>
      </c>
      <c r="E34" s="37" t="str">
        <f>IFERROR(__xludf.DUMMYFUNCTION("""COMPUTED_VALUE"""),"Radek")</f>
        <v>Radek</v>
      </c>
      <c r="F34" s="37" t="str">
        <f>IFERROR(__xludf.DUMMYFUNCTION("""COMPUTED_VALUE"""),"CZE")</f>
        <v>CZE</v>
      </c>
      <c r="G34" s="37" t="str">
        <f>IFERROR(__xludf.DUMMYFUNCTION("""COMPUTED_VALUE"""),"Zaječí")</f>
        <v>Zaječí</v>
      </c>
      <c r="H34" s="37" t="str">
        <f>IFERROR(__xludf.DUMMYFUNCTION("""COMPUTED_VALUE"""),"M50")</f>
        <v>M50</v>
      </c>
      <c r="I34" s="40" t="s">
        <v>36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50">
        <v>703.0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)"),"10117560041")</f>
        <v>10117560041</v>
      </c>
      <c r="D35" s="37" t="str">
        <f>IFERROR(__xludf.DUMMYFUNCTION("""COMPUTED_VALUE"""),"Malášek")</f>
        <v>Malášek</v>
      </c>
      <c r="E35" s="37" t="str">
        <f>IFERROR(__xludf.DUMMYFUNCTION("""COMPUTED_VALUE"""),"Petr")</f>
        <v>Petr</v>
      </c>
      <c r="F35" s="37" t="str">
        <f>IFERROR(__xludf.DUMMYFUNCTION("""COMPUTED_VALUE"""),"CZE")</f>
        <v>CZE</v>
      </c>
      <c r="G35" s="37" t="str">
        <f>IFERROR(__xludf.DUMMYFUNCTION("""COMPUTED_VALUE"""),"Akademie dráhové cyklistiky")</f>
        <v>Akademie dráhové cyklistiky</v>
      </c>
      <c r="H35" s="37" t="str">
        <f>IFERROR(__xludf.DUMMYFUNCTION("""COMPUTED_VALUE"""),"M50")</f>
        <v>M50</v>
      </c>
      <c r="I35" s="40" t="s">
        <v>36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720.0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)"),"10046373357")</f>
        <v>10046373357</v>
      </c>
      <c r="D36" s="37" t="str">
        <f>IFERROR(__xludf.DUMMYFUNCTION("""COMPUTED_VALUE"""),"Lasovský")</f>
        <v>Lasovský</v>
      </c>
      <c r="E36" s="37" t="str">
        <f>IFERROR(__xludf.DUMMYFUNCTION("""COMPUTED_VALUE"""),"Roman")</f>
        <v>Roman</v>
      </c>
      <c r="F36" s="37" t="str">
        <f>IFERROR(__xludf.DUMMYFUNCTION("""COMPUTED_VALUE"""),"CZE")</f>
        <v>CZE</v>
      </c>
      <c r="G36" s="37" t="str">
        <f>IFERROR(__xludf.DUMMYFUNCTION("""COMPUTED_VALUE"""),"VARTA")</f>
        <v>VARTA</v>
      </c>
      <c r="H36" s="37" t="str">
        <f>IFERROR(__xludf.DUMMYFUNCTION("""COMPUTED_VALUE"""),"M50")</f>
        <v>M50</v>
      </c>
      <c r="I36" s="40" t="s">
        <v>82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722.0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)"),"10165330723")</f>
        <v>10165330723</v>
      </c>
      <c r="D37" s="37" t="str">
        <f>IFERROR(__xludf.DUMMYFUNCTION("""COMPUTED_VALUE"""),"Tichý")</f>
        <v>Tichý</v>
      </c>
      <c r="E37" s="37" t="str">
        <f>IFERROR(__xludf.DUMMYFUNCTION("""COMPUTED_VALUE"""),"Vojtěch")</f>
        <v>Vojtěch</v>
      </c>
      <c r="F37" s="37" t="str">
        <f>IFERROR(__xludf.DUMMYFUNCTION("""COMPUTED_VALUE"""),"CZE")</f>
        <v>CZE</v>
      </c>
      <c r="G37" s="37" t="str">
        <f>IFERROR(__xludf.DUMMYFUNCTION("""COMPUTED_VALUE"""),"VARTA")</f>
        <v>VARTA</v>
      </c>
      <c r="H37" s="37" t="str">
        <f>IFERROR(__xludf.DUMMYFUNCTION("""COMPUTED_VALUE"""),"M50")</f>
        <v>M50</v>
      </c>
      <c r="I37" s="40" t="s">
        <v>82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 t="s">
        <v>37</v>
      </c>
      <c r="B38" s="35">
        <v>710.0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)"),"10035062854")</f>
        <v>10035062854</v>
      </c>
      <c r="D38" s="37" t="str">
        <f>IFERROR(__xludf.DUMMYFUNCTION("""COMPUTED_VALUE"""),"Kröll")</f>
        <v>Kröll</v>
      </c>
      <c r="E38" s="37" t="str">
        <f>IFERROR(__xludf.DUMMYFUNCTION("""COMPUTED_VALUE"""),"Michael")</f>
        <v>Michael</v>
      </c>
      <c r="F38" s="37" t="str">
        <f>IFERROR(__xludf.DUMMYFUNCTION("""COMPUTED_VALUE"""),"AT")</f>
        <v>AT</v>
      </c>
      <c r="G38" s="37" t="str">
        <f>IFERROR(__xludf.DUMMYFUNCTION("""COMPUTED_VALUE"""),"Geizhals.at VICC Racing Division")</f>
        <v>Geizhals.at VICC Racing Division</v>
      </c>
      <c r="H38" s="37" t="str">
        <f>IFERROR(__xludf.DUMMYFUNCTION("""COMPUTED_VALUE"""),"M50")</f>
        <v>M50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 t="s">
        <v>37</v>
      </c>
      <c r="B39" s="35">
        <v>719.0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)"),"10001130032")</f>
        <v>10001130032</v>
      </c>
      <c r="D39" s="37" t="str">
        <f>IFERROR(__xludf.DUMMYFUNCTION("""COMPUTED_VALUE"""),"Mlynář")</f>
        <v>Mlynář</v>
      </c>
      <c r="E39" s="37" t="str">
        <f>IFERROR(__xludf.DUMMYFUNCTION("""COMPUTED_VALUE"""),"Zdeněk")</f>
        <v>Zdeněk</v>
      </c>
      <c r="F39" s="37" t="str">
        <f>IFERROR(__xludf.DUMMYFUNCTION("""COMPUTED_VALUE"""),"CZE")</f>
        <v>CZE</v>
      </c>
      <c r="G39" s="37" t="str">
        <f>IFERROR(__xludf.DUMMYFUNCTION("""COMPUTED_VALUE"""),"VARTA")</f>
        <v>VARTA</v>
      </c>
      <c r="H39" s="37" t="str">
        <f>IFERROR(__xludf.DUMMYFUNCTION("""COMPUTED_VALUE"""),"M50")</f>
        <v>M50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 t="s">
        <v>39</v>
      </c>
      <c r="B40" s="38"/>
      <c r="C40" s="41">
        <v>1.0149825877E10</v>
      </c>
      <c r="D40" s="41" t="s">
        <v>85</v>
      </c>
      <c r="E40" s="41" t="s">
        <v>86</v>
      </c>
      <c r="F40" s="41" t="s">
        <v>42</v>
      </c>
      <c r="G40" s="41" t="s">
        <v>87</v>
      </c>
      <c r="H40" s="41" t="s">
        <v>80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2.0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99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77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78</v>
      </c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7.0</v>
      </c>
      <c r="D12" s="18" t="s">
        <v>25</v>
      </c>
      <c r="E12" s="26">
        <v>7.0</v>
      </c>
      <c r="F12" s="28"/>
      <c r="G12" s="18" t="s">
        <v>26</v>
      </c>
      <c r="H12" s="26">
        <v>7.0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807.0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)"),"10046710433")</f>
        <v>10046710433</v>
      </c>
      <c r="D15" s="37" t="str">
        <f>IFERROR(__xludf.DUMMYFUNCTION("""COMPUTED_VALUE"""),"Peňáček")</f>
        <v>Peňáček</v>
      </c>
      <c r="E15" s="37" t="str">
        <f>IFERROR(__xludf.DUMMYFUNCTION("""COMPUTED_VALUE"""),"Miroslav")</f>
        <v>Miroslav</v>
      </c>
      <c r="F15" s="37" t="str">
        <f>IFERROR(__xludf.DUMMYFUNCTION("""COMPUTED_VALUE"""),"CZE")</f>
        <v>CZE</v>
      </c>
      <c r="G15" s="37" t="str">
        <f>IFERROR(__xludf.DUMMYFUNCTION("""COMPUTED_VALUE"""),"SPORTCOMPLEX Břeclav")</f>
        <v>SPORTCOMPLEX Břeclav</v>
      </c>
      <c r="H15" s="37" t="str">
        <f>IFERROR(__xludf.DUMMYFUNCTION("""COMPUTED_VALUE"""),"M60")</f>
        <v>M60</v>
      </c>
      <c r="I15" s="40" t="s">
        <v>81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803.0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)"),"10151197419")</f>
        <v>10151197419</v>
      </c>
      <c r="D16" s="37" t="str">
        <f>IFERROR(__xludf.DUMMYFUNCTION("""COMPUTED_VALUE"""),"Hrebík")</f>
        <v>Hrebík</v>
      </c>
      <c r="E16" s="37" t="str">
        <f>IFERROR(__xludf.DUMMYFUNCTION("""COMPUTED_VALUE"""),"Štefan")</f>
        <v>Štefan</v>
      </c>
      <c r="F16" s="37" t="str">
        <f>IFERROR(__xludf.DUMMYFUNCTION("""COMPUTED_VALUE"""),"SVK")</f>
        <v>SVK</v>
      </c>
      <c r="G16" s="37" t="str">
        <f>IFERROR(__xludf.DUMMYFUNCTION("""COMPUTED_VALUE"""),"PROefekt team")</f>
        <v>PROefekt team</v>
      </c>
      <c r="H16" s="37" t="str">
        <f>IFERROR(__xludf.DUMMYFUNCTION("""COMPUTED_VALUE"""),"M60")</f>
        <v>M60</v>
      </c>
      <c r="I16" s="40" t="s">
        <v>81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804.0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IFERROR(__xludf.DUMMYFUNCTION("""COMPUTED_VALUE"""),"Suchý")</f>
        <v>Suchý</v>
      </c>
      <c r="E17" s="37" t="str">
        <f>IFERROR(__xludf.DUMMYFUNCTION("""COMPUTED_VALUE"""),"Jaromír")</f>
        <v>Jaromír</v>
      </c>
      <c r="F17" s="37" t="str">
        <f>IFERROR(__xludf.DUMMYFUNCTION("""COMPUTED_VALUE"""),"CZE")</f>
        <v>CZE</v>
      </c>
      <c r="G17" s="37" t="str">
        <f>IFERROR(__xludf.DUMMYFUNCTION("""COMPUTED_VALUE"""),"Rafkarna IDEA Cycling Team")</f>
        <v>Rafkarna IDEA Cycling Team</v>
      </c>
      <c r="H17" s="37" t="str">
        <f>IFERROR(__xludf.DUMMYFUNCTION("""COMPUTED_VALUE"""),"M60")</f>
        <v>M60</v>
      </c>
      <c r="I17" s="40" t="s">
        <v>81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801.0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IFERROR(__xludf.DUMMYFUNCTION("""COMPUTED_VALUE"""),"SPÁČIL")</f>
        <v>SPÁČIL</v>
      </c>
      <c r="E18" s="37" t="str">
        <f>IFERROR(__xludf.DUMMYFUNCTION("""COMPUTED_VALUE"""),"LEOPOLD")</f>
        <v>LEOPOLD</v>
      </c>
      <c r="F18" s="37" t="str">
        <f>IFERROR(__xludf.DUMMYFUNCTION("""COMPUTED_VALUE"""),"CZE")</f>
        <v>CZE</v>
      </c>
      <c r="G18" s="37" t="str">
        <f>IFERROR(__xludf.DUMMYFUNCTION("""COMPUTED_VALUE"""),"MONDRAKER Racing team")</f>
        <v>MONDRAKER Racing team</v>
      </c>
      <c r="H18" s="37" t="str">
        <f>IFERROR(__xludf.DUMMYFUNCTION("""COMPUTED_VALUE"""),"M60")</f>
        <v>M60</v>
      </c>
      <c r="I18" s="40" t="s">
        <v>81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805.0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)"),"")</f>
        <v/>
      </c>
      <c r="D19" s="37" t="str">
        <f>IFERROR(__xludf.DUMMYFUNCTION("""COMPUTED_VALUE"""),"Svoboda")</f>
        <v>Svoboda</v>
      </c>
      <c r="E19" s="37" t="str">
        <f>IFERROR(__xludf.DUMMYFUNCTION("""COMPUTED_VALUE"""),"Milos")</f>
        <v>Milos</v>
      </c>
      <c r="F19" s="37" t="str">
        <f>IFERROR(__xludf.DUMMYFUNCTION("""COMPUTED_VALUE"""),"SVK")</f>
        <v>SVK</v>
      </c>
      <c r="G19" s="37" t="str">
        <f>IFERROR(__xludf.DUMMYFUNCTION("""COMPUTED_VALUE"""),"REDOX Slovakia")</f>
        <v>REDOX Slovakia</v>
      </c>
      <c r="H19" s="37" t="str">
        <f>IFERROR(__xludf.DUMMYFUNCTION("""COMPUTED_VALUE"""),"M60")</f>
        <v>M60</v>
      </c>
      <c r="I19" s="40" t="s">
        <v>81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806.0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)"),"10062415440")</f>
        <v>10062415440</v>
      </c>
      <c r="D20" s="37" t="str">
        <f>IFERROR(__xludf.DUMMYFUNCTION("""COMPUTED_VALUE"""),"Hledík")</f>
        <v>Hledík</v>
      </c>
      <c r="E20" s="37" t="str">
        <f>IFERROR(__xludf.DUMMYFUNCTION("""COMPUTED_VALUE"""),"Jiří")</f>
        <v>Jiří</v>
      </c>
      <c r="F20" s="37" t="str">
        <f>IFERROR(__xludf.DUMMYFUNCTION("""COMPUTED_VALUE"""),"CZE")</f>
        <v>CZE</v>
      </c>
      <c r="G20" s="37" t="str">
        <f>IFERROR(__xludf.DUMMYFUNCTION("""COMPUTED_VALUE"""),"REXONIX KOVO PRAHA")</f>
        <v>REXONIX KOVO PRAHA</v>
      </c>
      <c r="H20" s="37" t="str">
        <f>IFERROR(__xludf.DUMMYFUNCTION("""COMPUTED_VALUE"""),"M60")</f>
        <v>M60</v>
      </c>
      <c r="I20" s="40" t="s">
        <v>81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802.0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 t="str">
        <f>IFERROR(__xludf.DUMMYFUNCTION("""COMPUTED_VALUE"""),"Krajsa")</f>
        <v>Krajsa</v>
      </c>
      <c r="E21" s="37" t="str">
        <f>IFERROR(__xludf.DUMMYFUNCTION("""COMPUTED_VALUE"""),"Pavel")</f>
        <v>Pavel</v>
      </c>
      <c r="F21" s="37" t="str">
        <f>IFERROR(__xludf.DUMMYFUNCTION("""COMPUTED_VALUE"""),"CZE")</f>
        <v>CZE</v>
      </c>
      <c r="G21" s="37" t="str">
        <f>IFERROR(__xludf.DUMMYFUNCTION("""COMPUTED_VALUE"""),"Plavčíci Slavkov")</f>
        <v>Plavčíci Slavkov</v>
      </c>
      <c r="H21" s="37" t="str">
        <f>IFERROR(__xludf.DUMMYFUNCTION("""COMPUTED_VALUE"""),"M60")</f>
        <v>M60</v>
      </c>
      <c r="I21" s="40" t="s">
        <v>82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idden="1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idden="1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idden="1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idden="1">
      <c r="A25" s="38"/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idden="1">
      <c r="A26" s="38"/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idden="1">
      <c r="A27" s="38"/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idden="1">
      <c r="A28" s="38"/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3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0.0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6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83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84</v>
      </c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7.0</v>
      </c>
      <c r="D12" s="18" t="s">
        <v>25</v>
      </c>
      <c r="E12" s="26">
        <v>7.0</v>
      </c>
      <c r="F12" s="28"/>
      <c r="G12" s="18" t="s">
        <v>26</v>
      </c>
      <c r="H12" s="26">
        <v>5.0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902.0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)"),"10117563071")</f>
        <v>10117563071</v>
      </c>
      <c r="D15" s="37" t="str">
        <f>IFERROR(__xludf.DUMMYFUNCTION("""COMPUTED_VALUE"""),"Rychnovská")</f>
        <v>Rychnovská</v>
      </c>
      <c r="E15" s="37" t="str">
        <f>IFERROR(__xludf.DUMMYFUNCTION("""COMPUTED_VALUE"""),"Zuzana")</f>
        <v>Zuzana</v>
      </c>
      <c r="F15" s="37" t="str">
        <f>IFERROR(__xludf.DUMMYFUNCTION("""COMPUTED_VALUE"""),"CZE")</f>
        <v>CZE</v>
      </c>
      <c r="G15" s="37" t="str">
        <f>IFERROR(__xludf.DUMMYFUNCTION("""COMPUTED_VALUE"""),"Sport Import")</f>
        <v>Sport Import</v>
      </c>
      <c r="H15" s="37" t="str">
        <f>IFERROR(__xludf.DUMMYFUNCTION("""COMPUTED_VALUE"""),"F*M")</f>
        <v>F*M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905.0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)"),"")</f>
        <v/>
      </c>
      <c r="D16" s="37" t="str">
        <f>IFERROR(__xludf.DUMMYFUNCTION("""COMPUTED_VALUE"""),"Šikolová")</f>
        <v>Šikolová</v>
      </c>
      <c r="E16" s="37" t="str">
        <f>IFERROR(__xludf.DUMMYFUNCTION("""COMPUTED_VALUE"""),"Dana")</f>
        <v>Dana</v>
      </c>
      <c r="F16" s="37" t="str">
        <f>IFERROR(__xludf.DUMMYFUNCTION("""COMPUTED_VALUE"""),"CZE")</f>
        <v>CZE</v>
      </c>
      <c r="G16" s="37" t="str">
        <f>IFERROR(__xludf.DUMMYFUNCTION("""COMPUTED_VALUE"""),"VARTA")</f>
        <v>VARTA</v>
      </c>
      <c r="H16" s="37" t="str">
        <f>IFERROR(__xludf.DUMMYFUNCTION("""COMPUTED_VALUE"""),"F*M")</f>
        <v>F*M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903.0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IFERROR(__xludf.DUMMYFUNCTION("""COMPUTED_VALUE"""),"Divišová")</f>
        <v>Divišová</v>
      </c>
      <c r="E17" s="37" t="str">
        <f>IFERROR(__xludf.DUMMYFUNCTION("""COMPUTED_VALUE"""),"Dana")</f>
        <v>Dana</v>
      </c>
      <c r="F17" s="37" t="str">
        <f>IFERROR(__xludf.DUMMYFUNCTION("""COMPUTED_VALUE"""),"CZE")</f>
        <v>CZE</v>
      </c>
      <c r="G17" s="37" t="str">
        <f>IFERROR(__xludf.DUMMYFUNCTION("""COMPUTED_VALUE"""),"team Cyklotrener")</f>
        <v>team Cyklotrener</v>
      </c>
      <c r="H17" s="37" t="str">
        <f>IFERROR(__xludf.DUMMYFUNCTION("""COMPUTED_VALUE"""),"F*M")</f>
        <v>F*M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901.0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IFERROR(__xludf.DUMMYFUNCTION("""COMPUTED_VALUE"""),"Rybinova")</f>
        <v>Rybinova</v>
      </c>
      <c r="E18" s="37" t="str">
        <f>IFERROR(__xludf.DUMMYFUNCTION("""COMPUTED_VALUE"""),"Veronika")</f>
        <v>Veronika</v>
      </c>
      <c r="F18" s="37" t="str">
        <f>IFERROR(__xludf.DUMMYFUNCTION("""COMPUTED_VALUE"""),"CZE")</f>
        <v>CZE</v>
      </c>
      <c r="G18" s="37" t="str">
        <f>IFERROR(__xludf.DUMMYFUNCTION("""COMPUTED_VALUE"""),"Rafkarna IDEA Cycling Team")</f>
        <v>Rafkarna IDEA Cycling Team</v>
      </c>
      <c r="H18" s="37" t="str">
        <f>IFERROR(__xludf.DUMMYFUNCTION("""COMPUTED_VALUE"""),"F*M")</f>
        <v>F*M</v>
      </c>
      <c r="I18" s="40" t="s">
        <v>36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907.0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)"),"10166969720")</f>
        <v>10166969720</v>
      </c>
      <c r="D19" s="37" t="str">
        <f>IFERROR(__xludf.DUMMYFUNCTION("""COMPUTED_VALUE"""),"Perková")</f>
        <v>Perková</v>
      </c>
      <c r="E19" s="37" t="str">
        <f>IFERROR(__xludf.DUMMYFUNCTION("""COMPUTED_VALUE"""),"Simona")</f>
        <v>Simona</v>
      </c>
      <c r="F19" s="37" t="str">
        <f>IFERROR(__xludf.DUMMYFUNCTION("""COMPUTED_VALUE"""),"CZE")</f>
        <v>CZE</v>
      </c>
      <c r="G19" s="37" t="str">
        <f>IFERROR(__xludf.DUMMYFUNCTION("""COMPUTED_VALUE"""),"VARTA")</f>
        <v>VARTA</v>
      </c>
      <c r="H19" s="37" t="str">
        <f>IFERROR(__xludf.DUMMYFUNCTION("""COMPUTED_VALUE"""),"F*M")</f>
        <v>F*M</v>
      </c>
      <c r="I19" s="40" t="s">
        <v>81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 t="s">
        <v>37</v>
      </c>
      <c r="B20" s="35">
        <v>906.0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)"),"10166968104")</f>
        <v>10166968104</v>
      </c>
      <c r="D20" s="37" t="str">
        <f>IFERROR(__xludf.DUMMYFUNCTION("""COMPUTED_VALUE"""),"Handlová")</f>
        <v>Handlová</v>
      </c>
      <c r="E20" s="37" t="str">
        <f>IFERROR(__xludf.DUMMYFUNCTION("""COMPUTED_VALUE"""),"Nikola")</f>
        <v>Nikola</v>
      </c>
      <c r="F20" s="37" t="str">
        <f>IFERROR(__xludf.DUMMYFUNCTION("""COMPUTED_VALUE"""),"CZE")</f>
        <v>CZE</v>
      </c>
      <c r="G20" s="37" t="str">
        <f>IFERROR(__xludf.DUMMYFUNCTION("""COMPUTED_VALUE"""),"VARTA")</f>
        <v>VARTA</v>
      </c>
      <c r="H20" s="37" t="str">
        <f>IFERROR(__xludf.DUMMYFUNCTION("""COMPUTED_VALUE"""),"F*M")</f>
        <v>F*M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 t="s">
        <v>37</v>
      </c>
      <c r="B21" s="35">
        <v>904.0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 t="str">
        <f>IFERROR(__xludf.DUMMYFUNCTION("""COMPUTED_VALUE"""),"Šotkovská")</f>
        <v>Šotkovská</v>
      </c>
      <c r="E21" s="37" t="str">
        <f>IFERROR(__xludf.DUMMYFUNCTION("""COMPUTED_VALUE"""),"Magdaléna")</f>
        <v>Magdaléna</v>
      </c>
      <c r="F21" s="37" t="str">
        <f>IFERROR(__xludf.DUMMYFUNCTION("""COMPUTED_VALUE"""),"CZE")</f>
        <v>CZE</v>
      </c>
      <c r="G21" s="37" t="str">
        <f>IFERROR(__xludf.DUMMYFUNCTION("""COMPUTED_VALUE"""),"Team Forman Energetic")</f>
        <v>Team Forman Energetic</v>
      </c>
      <c r="H21" s="37" t="str">
        <f>IFERROR(__xludf.DUMMYFUNCTION("""COMPUTED_VALUE"""),"F*M")</f>
        <v>F*M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idden="1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idden="1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idden="1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idden="1">
      <c r="A25" s="38"/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idden="1">
      <c r="A26" s="38"/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idden="1">
      <c r="A27" s="38"/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idden="1">
      <c r="A28" s="38"/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2.0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7.0"/>
    <col customWidth="1" min="5" max="5" width="17.13"/>
    <col customWidth="1" min="6" max="6" width="11.25"/>
    <col customWidth="1" min="7" max="7" width="27.0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88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89</v>
      </c>
      <c r="C9" s="21"/>
      <c r="D9" s="23" t="s">
        <v>18</v>
      </c>
      <c r="E9" s="24">
        <v>40.0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32.0</v>
      </c>
      <c r="D12" s="18" t="s">
        <v>25</v>
      </c>
      <c r="E12" s="26">
        <v>29.0</v>
      </c>
      <c r="F12" s="28"/>
      <c r="G12" s="18" t="s">
        <v>26</v>
      </c>
      <c r="H12" s="26">
        <v>25.0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100.0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)"),"10093144838")</f>
        <v>10093144838</v>
      </c>
      <c r="D15" s="37" t="str">
        <f>IFERROR(__xludf.DUMMYFUNCTION("""COMPUTED_VALUE"""),"Drábková")</f>
        <v>Drábková</v>
      </c>
      <c r="E15" s="37" t="str">
        <f>IFERROR(__xludf.DUMMYFUNCTION("""COMPUTED_VALUE"""),"Nela")</f>
        <v>Nela</v>
      </c>
      <c r="F15" s="37" t="str">
        <f>IFERROR(__xludf.DUMMYFUNCTION("""COMPUTED_VALUE"""),"CZE")</f>
        <v>CZE</v>
      </c>
      <c r="G15" s="37" t="str">
        <f>IFERROR(__xludf.DUMMYFUNCTION("""COMPUTED_VALUE"""),"Expres CZ Elmtrade Team Kolín")</f>
        <v>Expres CZ Elmtrade Team Kolín</v>
      </c>
      <c r="H15" s="37" t="str">
        <f>IFERROR(__xludf.DUMMYFUNCTION("""COMPUTED_VALUE"""),"F*KAD")</f>
        <v>F*KAD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187.0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)"),"10133486734")</f>
        <v>10133486734</v>
      </c>
      <c r="D16" s="37" t="str">
        <f>IFERROR(__xludf.DUMMYFUNCTION("""COMPUTED_VALUE"""),"Vaněčková")</f>
        <v>Vaněčková</v>
      </c>
      <c r="E16" s="37" t="str">
        <f>IFERROR(__xludf.DUMMYFUNCTION("""COMPUTED_VALUE"""),"Adéla")</f>
        <v>Adéla</v>
      </c>
      <c r="F16" s="37" t="str">
        <f>IFERROR(__xludf.DUMMYFUNCTION("""COMPUTED_VALUE"""),"CZE")</f>
        <v>CZE</v>
      </c>
      <c r="G16" s="37" t="str">
        <f>IFERROR(__xludf.DUMMYFUNCTION("""COMPUTED_VALUE"""),"Rexonix Kovo Praha")</f>
        <v>Rexonix Kovo Praha</v>
      </c>
      <c r="H16" s="37" t="str">
        <f>IFERROR(__xludf.DUMMYFUNCTION("""COMPUTED_VALUE"""),"F*KAD")</f>
        <v>F*KAD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190.0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)"),"10128130819")</f>
        <v>10128130819</v>
      </c>
      <c r="D17" s="37" t="str">
        <f>IFERROR(__xludf.DUMMYFUNCTION("""COMPUTED_VALUE"""),"Lhotáková")</f>
        <v>Lhotáková</v>
      </c>
      <c r="E17" s="37" t="str">
        <f>IFERROR(__xludf.DUMMYFUNCTION("""COMPUTED_VALUE"""),"Kristýna")</f>
        <v>Kristýna</v>
      </c>
      <c r="F17" s="37" t="str">
        <f>IFERROR(__xludf.DUMMYFUNCTION("""COMPUTED_VALUE"""),"CZE")</f>
        <v>CZE</v>
      </c>
      <c r="G17" s="37" t="str">
        <f>IFERROR(__xludf.DUMMYFUNCTION("""COMPUTED_VALUE"""),"TJ AUTO ŠKODA Mladá Boleslav")</f>
        <v>TJ AUTO ŠKODA Mladá Boleslav</v>
      </c>
      <c r="H17" s="37" t="str">
        <f>IFERROR(__xludf.DUMMYFUNCTION("""COMPUTED_VALUE"""),"F*KAD")</f>
        <v>F*KAD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97.0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)"),"10106853867")</f>
        <v>10106853867</v>
      </c>
      <c r="D18" s="37" t="str">
        <f>IFERROR(__xludf.DUMMYFUNCTION("""COMPUTED_VALUE"""),"LETKOVÁ")</f>
        <v>LETKOVÁ</v>
      </c>
      <c r="E18" s="37" t="str">
        <f>IFERROR(__xludf.DUMMYFUNCTION("""COMPUTED_VALUE"""),"Natália")</f>
        <v>Natália</v>
      </c>
      <c r="F18" s="37" t="str">
        <f>IFERROR(__xludf.DUMMYFUNCTION("""COMPUTED_VALUE"""),"SVK")</f>
        <v>SVK</v>
      </c>
      <c r="G18" s="37" t="str">
        <f>IFERROR(__xludf.DUMMYFUNCTION("""COMPUTED_VALUE"""),"CyS - Akadémia Petra Sagana")</f>
        <v>CyS - Akadémia Petra Sagana</v>
      </c>
      <c r="H18" s="37" t="str">
        <f>IFERROR(__xludf.DUMMYFUNCTION("""COMPUTED_VALUE"""),"F*KAD")</f>
        <v>F*KAD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92.0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)"),"10081050352")</f>
        <v>10081050352</v>
      </c>
      <c r="D19" s="37" t="str">
        <f>IFERROR(__xludf.DUMMYFUNCTION("""COMPUTED_VALUE"""),"Svobodová")</f>
        <v>Svobodová</v>
      </c>
      <c r="E19" s="37" t="str">
        <f>IFERROR(__xludf.DUMMYFUNCTION("""COMPUTED_VALUE"""),"Laura")</f>
        <v>Laura</v>
      </c>
      <c r="F19" s="37" t="str">
        <f>IFERROR(__xludf.DUMMYFUNCTION("""COMPUTED_VALUE"""),"CZE")</f>
        <v>CZE</v>
      </c>
      <c r="G19" s="37" t="str">
        <f>IFERROR(__xludf.DUMMYFUNCTION("""COMPUTED_VALUE"""),"BRILON RACING TEAM MB")</f>
        <v>BRILON RACING TEAM MB</v>
      </c>
      <c r="H19" s="37" t="str">
        <f>IFERROR(__xludf.DUMMYFUNCTION("""COMPUTED_VALUE"""),"F*KAD")</f>
        <v>F*KAD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91.0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)"),"10118282487")</f>
        <v>10118282487</v>
      </c>
      <c r="D20" s="37" t="str">
        <f>IFERROR(__xludf.DUMMYFUNCTION("""COMPUTED_VALUE"""),"Reková")</f>
        <v>Reková</v>
      </c>
      <c r="E20" s="37" t="str">
        <f>IFERROR(__xludf.DUMMYFUNCTION("""COMPUTED_VALUE"""),"Anna")</f>
        <v>Anna</v>
      </c>
      <c r="F20" s="37" t="str">
        <f>IFERROR(__xludf.DUMMYFUNCTION("""COMPUTED_VALUE"""),"CZE")</f>
        <v>CZE</v>
      </c>
      <c r="G20" s="37" t="str">
        <f>IFERROR(__xludf.DUMMYFUNCTION("""COMPUTED_VALUE"""),"BRILON RACING TEAM MB")</f>
        <v>BRILON RACING TEAM MB</v>
      </c>
      <c r="H20" s="37" t="str">
        <f>IFERROR(__xludf.DUMMYFUNCTION("""COMPUTED_VALUE"""),"F*KAD")</f>
        <v>F*KAD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182.0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)"),"10106072009")</f>
        <v>10106072009</v>
      </c>
      <c r="D21" s="37" t="str">
        <f>IFERROR(__xludf.DUMMYFUNCTION("""COMPUTED_VALUE"""),"Rusňáková")</f>
        <v>Rusňáková</v>
      </c>
      <c r="E21" s="37" t="str">
        <f>IFERROR(__xludf.DUMMYFUNCTION("""COMPUTED_VALUE"""),"Kamila")</f>
        <v>Kamila</v>
      </c>
      <c r="F21" s="37" t="str">
        <f>IFERROR(__xludf.DUMMYFUNCTION("""COMPUTED_VALUE"""),"CZE")</f>
        <v>CZE</v>
      </c>
      <c r="G21" s="37" t="str">
        <f>IFERROR(__xludf.DUMMYFUNCTION("""COMPUTED_VALUE"""),"FIEGE VELO AKADEMIE")</f>
        <v>FIEGE VELO AKADEMIE</v>
      </c>
      <c r="H21" s="37" t="str">
        <f>IFERROR(__xludf.DUMMYFUNCTION("""COMPUTED_VALUE"""),"F*KAD")</f>
        <v>F*KAD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94.0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)"),"10077417094")</f>
        <v>10077417094</v>
      </c>
      <c r="D22" s="37" t="str">
        <f>IFERROR(__xludf.DUMMYFUNCTION("""COMPUTED_VALUE"""),"Jezbergerová")</f>
        <v>Jezbergerová</v>
      </c>
      <c r="E22" s="37" t="str">
        <f>IFERROR(__xludf.DUMMYFUNCTION("""COMPUTED_VALUE"""),"Nela")</f>
        <v>Nela</v>
      </c>
      <c r="F22" s="37" t="str">
        <f>IFERROR(__xludf.DUMMYFUNCTION("""COMPUTED_VALUE"""),"SVK")</f>
        <v>SVK</v>
      </c>
      <c r="G22" s="37" t="str">
        <f>IFERROR(__xludf.DUMMYFUNCTION("""COMPUTED_VALUE"""),"CK Olympik Trnava")</f>
        <v>CK Olympik Trnava</v>
      </c>
      <c r="H22" s="37" t="str">
        <f>IFERROR(__xludf.DUMMYFUNCTION("""COMPUTED_VALUE"""),"F*KAD")</f>
        <v>F*KAD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99.0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)"),"10127171832")</f>
        <v>10127171832</v>
      </c>
      <c r="D23" s="37" t="str">
        <f>IFERROR(__xludf.DUMMYFUNCTION("""COMPUTED_VALUE"""),"ŽITNÍKOVÁ")</f>
        <v>ŽITNÍKOVÁ</v>
      </c>
      <c r="E23" s="37" t="str">
        <f>IFERROR(__xludf.DUMMYFUNCTION("""COMPUTED_VALUE"""),"Natália")</f>
        <v>Natália</v>
      </c>
      <c r="F23" s="37" t="str">
        <f>IFERROR(__xludf.DUMMYFUNCTION("""COMPUTED_VALUE"""),"SVK")</f>
        <v>SVK</v>
      </c>
      <c r="G23" s="37" t="str">
        <f>IFERROR(__xludf.DUMMYFUNCTION("""COMPUTED_VALUE"""),"CyS - Akadémia Petra Sagana")</f>
        <v>CyS - Akadémia Petra Sagana</v>
      </c>
      <c r="H23" s="37" t="str">
        <f>IFERROR(__xludf.DUMMYFUNCTION("""COMPUTED_VALUE"""),"F*KAD")</f>
        <v>F*KAD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191.0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)"),"10111179966")</f>
        <v>10111179966</v>
      </c>
      <c r="D24" s="37" t="str">
        <f>IFERROR(__xludf.DUMMYFUNCTION("""COMPUTED_VALUE"""),"RUSZKIEWICZ")</f>
        <v>RUSZKIEWICZ</v>
      </c>
      <c r="E24" s="37" t="str">
        <f>IFERROR(__xludf.DUMMYFUNCTION("""COMPUTED_VALUE"""),"Lena")</f>
        <v>Lena</v>
      </c>
      <c r="F24" s="37" t="str">
        <f>IFERROR(__xludf.DUMMYFUNCTION("""COMPUTED_VALUE"""),"POL")</f>
        <v>POL</v>
      </c>
      <c r="G24" s="37" t="str">
        <f>IFERROR(__xludf.DUMMYFUNCTION("""COMPUTED_VALUE"""),"UKS AVATAR SILESIA TEAM")</f>
        <v>UKS AVATAR SILESIA TEAM</v>
      </c>
      <c r="H24" s="37" t="str">
        <f>IFERROR(__xludf.DUMMYFUNCTION("""COMPUTED_VALUE"""),"F*KAD")</f>
        <v>F*KAD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81.0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)"),"10123998316")</f>
        <v>10123998316</v>
      </c>
      <c r="D25" s="37" t="str">
        <f>IFERROR(__xludf.DUMMYFUNCTION("""COMPUTED_VALUE"""),"Kondllová")</f>
        <v>Kondllová</v>
      </c>
      <c r="E25" s="37" t="str">
        <f>IFERROR(__xludf.DUMMYFUNCTION("""COMPUTED_VALUE"""),"Lucie")</f>
        <v>Lucie</v>
      </c>
      <c r="F25" s="37" t="str">
        <f>IFERROR(__xludf.DUMMYFUNCTION("""COMPUTED_VALUE"""),"CZE")</f>
        <v>CZE</v>
      </c>
      <c r="G25" s="37" t="str">
        <f>IFERROR(__xludf.DUMMYFUNCTION("""COMPUTED_VALUE"""),"SPORTCOMPLEX Břeclav")</f>
        <v>SPORTCOMPLEX Břeclav</v>
      </c>
      <c r="H25" s="37" t="str">
        <f>IFERROR(__xludf.DUMMYFUNCTION("""COMPUTED_VALUE"""),"F*KAD")</f>
        <v>F*KAD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189.0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)"),"10093384308")</f>
        <v>10093384308</v>
      </c>
      <c r="D26" s="37" t="str">
        <f>IFERROR(__xludf.DUMMYFUNCTION("""COMPUTED_VALUE"""),"Ungerová")</f>
        <v>Ungerová</v>
      </c>
      <c r="E26" s="37" t="str">
        <f>IFERROR(__xludf.DUMMYFUNCTION("""COMPUTED_VALUE"""),"Vivien")</f>
        <v>Vivien</v>
      </c>
      <c r="F26" s="37" t="str">
        <f>IFERROR(__xludf.DUMMYFUNCTION("""COMPUTED_VALUE"""),"SVK")</f>
        <v>SVK</v>
      </c>
      <c r="G26" s="37" t="str">
        <f>IFERROR(__xludf.DUMMYFUNCTION("""COMPUTED_VALUE"""),"Slávia Ttrenčín")</f>
        <v>Slávia Ttrenčín</v>
      </c>
      <c r="H26" s="37" t="str">
        <f>IFERROR(__xludf.DUMMYFUNCTION("""COMPUTED_VALUE"""),"F*KAD")</f>
        <v>F*KAD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188.0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)"),"10093384106")</f>
        <v>10093384106</v>
      </c>
      <c r="D27" s="37" t="str">
        <f>IFERROR(__xludf.DUMMYFUNCTION("""COMPUTED_VALUE"""),"Mikušová")</f>
        <v>Mikušová</v>
      </c>
      <c r="E27" s="37" t="str">
        <f>IFERROR(__xludf.DUMMYFUNCTION("""COMPUTED_VALUE"""),"Nela")</f>
        <v>Nela</v>
      </c>
      <c r="F27" s="37" t="str">
        <f>IFERROR(__xludf.DUMMYFUNCTION("""COMPUTED_VALUE"""),"SVK")</f>
        <v>SVK</v>
      </c>
      <c r="G27" s="37" t="str">
        <f>IFERROR(__xludf.DUMMYFUNCTION("""COMPUTED_VALUE"""),"Slávia Ttrenčín")</f>
        <v>Slávia Ttrenčín</v>
      </c>
      <c r="H27" s="37" t="str">
        <f>IFERROR(__xludf.DUMMYFUNCTION("""COMPUTED_VALUE"""),"F*KAD")</f>
        <v>F*KAD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192.0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)"),"10131141859")</f>
        <v>10131141859</v>
      </c>
      <c r="D28" s="37" t="str">
        <f>IFERROR(__xludf.DUMMYFUNCTION("""COMPUTED_VALUE"""),"ŁYŻWA")</f>
        <v>ŁYŻWA</v>
      </c>
      <c r="E28" s="37" t="str">
        <f>IFERROR(__xludf.DUMMYFUNCTION("""COMPUTED_VALUE"""),"Olivia")</f>
        <v>Olivia</v>
      </c>
      <c r="F28" s="37" t="str">
        <f>IFERROR(__xludf.DUMMYFUNCTION("""COMPUTED_VALUE"""),"POL")</f>
        <v>POL</v>
      </c>
      <c r="G28" s="37" t="str">
        <f>IFERROR(__xludf.DUMMYFUNCTION("""COMPUTED_VALUE"""),"UKS AVATAR SILESIA TEAM")</f>
        <v>UKS AVATAR SILESIA TEAM</v>
      </c>
      <c r="H28" s="37" t="str">
        <f>IFERROR(__xludf.DUMMYFUNCTION("""COMPUTED_VALUE"""),"F*KAD")</f>
        <v>F*KAD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93.0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)"),"10151761635")</f>
        <v>10151761635</v>
      </c>
      <c r="D29" s="37" t="str">
        <f>IFERROR(__xludf.DUMMYFUNCTION("""COMPUTED_VALUE"""),"GABRIŠOVÁ")</f>
        <v>GABRIŠOVÁ</v>
      </c>
      <c r="E29" s="37" t="str">
        <f>IFERROR(__xludf.DUMMYFUNCTION("""COMPUTED_VALUE"""),"Vivien")</f>
        <v>Vivien</v>
      </c>
      <c r="F29" s="37" t="str">
        <f>IFERROR(__xludf.DUMMYFUNCTION("""COMPUTED_VALUE"""),"SVK")</f>
        <v>SVK</v>
      </c>
      <c r="G29" s="37" t="str">
        <f>IFERROR(__xludf.DUMMYFUNCTION("""COMPUTED_VALUE"""),"CK EPIC Dohňany")</f>
        <v>CK EPIC Dohňany</v>
      </c>
      <c r="H29" s="37" t="str">
        <f>IFERROR(__xludf.DUMMYFUNCTION("""COMPUTED_VALUE"""),"F*KAD")</f>
        <v>F*KAD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183.0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)"),"10116428777")</f>
        <v>10116428777</v>
      </c>
      <c r="D30" s="37" t="str">
        <f>IFERROR(__xludf.DUMMYFUNCTION("""COMPUTED_VALUE"""),"Frolíková")</f>
        <v>Frolíková</v>
      </c>
      <c r="E30" s="37" t="str">
        <f>IFERROR(__xludf.DUMMYFUNCTION("""COMPUTED_VALUE"""),"Michaela")</f>
        <v>Michaela</v>
      </c>
      <c r="F30" s="37" t="str">
        <f>IFERROR(__xludf.DUMMYFUNCTION("""COMPUTED_VALUE"""),"CZE")</f>
        <v>CZE</v>
      </c>
      <c r="G30" s="37" t="str">
        <f>IFERROR(__xludf.DUMMYFUNCTION("""COMPUTED_VALUE"""),"FIEGE VELO AKADEMIE")</f>
        <v>FIEGE VELO AKADEMIE</v>
      </c>
      <c r="H30" s="37" t="str">
        <f>IFERROR(__xludf.DUMMYFUNCTION("""COMPUTED_VALUE"""),"F*KAD")</f>
        <v>F*KAD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87.0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)"),"10153879164")</f>
        <v>10153879164</v>
      </c>
      <c r="D31" s="37" t="str">
        <f>IFERROR(__xludf.DUMMYFUNCTION("""COMPUTED_VALUE"""),"Hanušová")</f>
        <v>Hanušová</v>
      </c>
      <c r="E31" s="37" t="str">
        <f>IFERROR(__xludf.DUMMYFUNCTION("""COMPUTED_VALUE"""),"Aneta")</f>
        <v>Aneta</v>
      </c>
      <c r="F31" s="37" t="str">
        <f>IFERROR(__xludf.DUMMYFUNCTION("""COMPUTED_VALUE"""),"CZE")</f>
        <v>CZE</v>
      </c>
      <c r="G31" s="37" t="str">
        <f>IFERROR(__xludf.DUMMYFUNCTION("""COMPUTED_VALUE"""),"BB Com Devcity")</f>
        <v>BB Com Devcity</v>
      </c>
      <c r="H31" s="37" t="str">
        <f>IFERROR(__xludf.DUMMYFUNCTION("""COMPUTED_VALUE"""),"F*KAD")</f>
        <v>F*KAD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85.0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)"),"10123868778")</f>
        <v>10123868778</v>
      </c>
      <c r="D32" s="37" t="str">
        <f>IFERROR(__xludf.DUMMYFUNCTION("""COMPUTED_VALUE"""),"Míčková")</f>
        <v>Míčková</v>
      </c>
      <c r="E32" s="37" t="str">
        <f>IFERROR(__xludf.DUMMYFUNCTION("""COMPUTED_VALUE"""),"Terezie")</f>
        <v>Terezie</v>
      </c>
      <c r="F32" s="37" t="str">
        <f>IFERROR(__xludf.DUMMYFUNCTION("""COMPUTED_VALUE"""),"CZE")</f>
        <v>CZE</v>
      </c>
      <c r="G32" s="37" t="str">
        <f>IFERROR(__xludf.DUMMYFUNCTION("""COMPUTED_VALUE"""),"ACS DRAK VRBNO")</f>
        <v>ACS DRAK VRBNO</v>
      </c>
      <c r="H32" s="37" t="str">
        <f>IFERROR(__xludf.DUMMYFUNCTION("""COMPUTED_VALUE"""),"F*KAD")</f>
        <v>F*KAD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82.0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)"),"10148433121")</f>
        <v>10148433121</v>
      </c>
      <c r="D33" s="37" t="str">
        <f>IFERROR(__xludf.DUMMYFUNCTION("""COMPUTED_VALUE"""),"Savels")</f>
        <v>Savels</v>
      </c>
      <c r="E33" s="37" t="str">
        <f>IFERROR(__xludf.DUMMYFUNCTION("""COMPUTED_VALUE"""),"Eva")</f>
        <v>Eva</v>
      </c>
      <c r="F33" s="37" t="str">
        <f>IFERROR(__xludf.DUMMYFUNCTION("""COMPUTED_VALUE"""),"CZE")</f>
        <v>CZE</v>
      </c>
      <c r="G33" s="37" t="str">
        <f>IFERROR(__xludf.DUMMYFUNCTION("""COMPUTED_VALUE"""),"SPORTCOMPLEX Břeclav")</f>
        <v>SPORTCOMPLEX Břeclav</v>
      </c>
      <c r="H33" s="37" t="str">
        <f>IFERROR(__xludf.DUMMYFUNCTION("""COMPUTED_VALUE"""),"F*KAD")</f>
        <v>F*KAD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83.0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)"),"10124000033")</f>
        <v>10124000033</v>
      </c>
      <c r="D34" s="37" t="str">
        <f>IFERROR(__xludf.DUMMYFUNCTION("""COMPUTED_VALUE"""),"Prnková")</f>
        <v>Prnková</v>
      </c>
      <c r="E34" s="37" t="str">
        <f>IFERROR(__xludf.DUMMYFUNCTION("""COMPUTED_VALUE"""),"Viktorie")</f>
        <v>Viktorie</v>
      </c>
      <c r="F34" s="37" t="str">
        <f>IFERROR(__xludf.DUMMYFUNCTION("""COMPUTED_VALUE"""),"CZE")</f>
        <v>CZE</v>
      </c>
      <c r="G34" s="37" t="str">
        <f>IFERROR(__xludf.DUMMYFUNCTION("""COMPUTED_VALUE"""),"SPORTCOMPLEX Břeclav")</f>
        <v>SPORTCOMPLEX Břeclav</v>
      </c>
      <c r="H34" s="37" t="str">
        <f>IFERROR(__xludf.DUMMYFUNCTION("""COMPUTED_VALUE"""),"F*KAD")</f>
        <v>F*KAD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90.0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)"),"10115127664")</f>
        <v>10115127664</v>
      </c>
      <c r="D35" s="37" t="str">
        <f>IFERROR(__xludf.DUMMYFUNCTION("""COMPUTED_VALUE"""),"Dolečková")</f>
        <v>Dolečková</v>
      </c>
      <c r="E35" s="37" t="str">
        <f>IFERROR(__xludf.DUMMYFUNCTION("""COMPUTED_VALUE"""),"Tereza")</f>
        <v>Tereza</v>
      </c>
      <c r="F35" s="37" t="str">
        <f>IFERROR(__xludf.DUMMYFUNCTION("""COMPUTED_VALUE"""),"CZE")</f>
        <v>CZE</v>
      </c>
      <c r="G35" s="37" t="str">
        <f>IFERROR(__xludf.DUMMYFUNCTION("""COMPUTED_VALUE"""),"BIKE PRO RACING")</f>
        <v>BIKE PRO RACING</v>
      </c>
      <c r="H35" s="37" t="str">
        <f>IFERROR(__xludf.DUMMYFUNCTION("""COMPUTED_VALUE"""),"F*KAD")</f>
        <v>F*KAD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98.0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)"),"10080773702")</f>
        <v>10080773702</v>
      </c>
      <c r="D36" s="37" t="str">
        <f>IFERROR(__xludf.DUMMYFUNCTION("""COMPUTED_VALUE"""),"MATIESKOVÁ")</f>
        <v>MATIESKOVÁ</v>
      </c>
      <c r="E36" s="37" t="str">
        <f>IFERROR(__xludf.DUMMYFUNCTION("""COMPUTED_VALUE"""),"Sofia")</f>
        <v>Sofia</v>
      </c>
      <c r="F36" s="37" t="str">
        <f>IFERROR(__xludf.DUMMYFUNCTION("""COMPUTED_VALUE"""),"SVK")</f>
        <v>SVK</v>
      </c>
      <c r="G36" s="37" t="str">
        <f>IFERROR(__xludf.DUMMYFUNCTION("""COMPUTED_VALUE"""),"CyS - Akadémia Petra Sagana")</f>
        <v>CyS - Akadémia Petra Sagana</v>
      </c>
      <c r="H36" s="37" t="str">
        <f>IFERROR(__xludf.DUMMYFUNCTION("""COMPUTED_VALUE"""),"F*KAD")</f>
        <v>F*KAD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186.0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)"),"10127604490")</f>
        <v>10127604490</v>
      </c>
      <c r="D37" s="37" t="str">
        <f>IFERROR(__xludf.DUMMYFUNCTION("""COMPUTED_VALUE"""),"Karásková")</f>
        <v>Karásková</v>
      </c>
      <c r="E37" s="37" t="str">
        <f>IFERROR(__xludf.DUMMYFUNCTION("""COMPUTED_VALUE"""),"Valérie")</f>
        <v>Valérie</v>
      </c>
      <c r="F37" s="37" t="str">
        <f>IFERROR(__xludf.DUMMYFUNCTION("""COMPUTED_VALUE"""),"CZE")</f>
        <v>CZE</v>
      </c>
      <c r="G37" s="37" t="str">
        <f>IFERROR(__xludf.DUMMYFUNCTION("""COMPUTED_VALUE"""),"OCA - Brno")</f>
        <v>OCA - Brno</v>
      </c>
      <c r="H37" s="37" t="str">
        <f>IFERROR(__xludf.DUMMYFUNCTION("""COMPUTED_VALUE"""),"F*KAD")</f>
        <v>F*KAD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181.0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)"),"10116010566")</f>
        <v>10116010566</v>
      </c>
      <c r="D38" s="37" t="str">
        <f>IFERROR(__xludf.DUMMYFUNCTION("""COMPUTED_VALUE"""),"Mazura")</f>
        <v>Mazura</v>
      </c>
      <c r="E38" s="37" t="str">
        <f>IFERROR(__xludf.DUMMYFUNCTION("""COMPUTED_VALUE"""),"Nella")</f>
        <v>Nella</v>
      </c>
      <c r="F38" s="37" t="str">
        <f>IFERROR(__xludf.DUMMYFUNCTION("""COMPUTED_VALUE"""),"CZE")</f>
        <v>CZE</v>
      </c>
      <c r="G38" s="37" t="str">
        <f>IFERROR(__xludf.DUMMYFUNCTION("""COMPUTED_VALUE"""),"Expres CZ Elmtrade Team Kolín")</f>
        <v>Expres CZ Elmtrade Team Kolín</v>
      </c>
      <c r="H38" s="37" t="str">
        <f>IFERROR(__xludf.DUMMYFUNCTION("""COMPUTED_VALUE"""),"F*KAD")</f>
        <v>F*KAD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184.0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)"),"10116005112")</f>
        <v>10116005112</v>
      </c>
      <c r="D39" s="37" t="str">
        <f>IFERROR(__xludf.DUMMYFUNCTION("""COMPUTED_VALUE"""),"Čechová")</f>
        <v>Čechová</v>
      </c>
      <c r="E39" s="37" t="str">
        <f>IFERROR(__xludf.DUMMYFUNCTION("""COMPUTED_VALUE"""),"Eliška")</f>
        <v>Eliška</v>
      </c>
      <c r="F39" s="37" t="str">
        <f>IFERROR(__xludf.DUMMYFUNCTION("""COMPUTED_VALUE"""),"CZE")</f>
        <v>CZE</v>
      </c>
      <c r="G39" s="37" t="str">
        <f>IFERROR(__xludf.DUMMYFUNCTION("""COMPUTED_VALUE"""),"HSF SYSTEM CYCLING TEAM")</f>
        <v>HSF SYSTEM CYCLING TEAM</v>
      </c>
      <c r="H39" s="37" t="str">
        <f>IFERROR(__xludf.DUMMYFUNCTION("""COMPUTED_VALUE"""),"F*KAD")</f>
        <v>F*KAD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 t="s">
        <v>90</v>
      </c>
      <c r="B40" s="35">
        <v>84.0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)"),"10168501411")</f>
        <v>10168501411</v>
      </c>
      <c r="D40" s="37" t="str">
        <f>IFERROR(__xludf.DUMMYFUNCTION("""COMPUTED_VALUE"""),"Pressová")</f>
        <v>Pressová</v>
      </c>
      <c r="E40" s="37" t="str">
        <f>IFERROR(__xludf.DUMMYFUNCTION("""COMPUTED_VALUE"""),"Marie")</f>
        <v>Marie</v>
      </c>
      <c r="F40" s="37" t="str">
        <f>IFERROR(__xludf.DUMMYFUNCTION("""COMPUTED_VALUE"""),"CZE")</f>
        <v>CZE</v>
      </c>
      <c r="G40" s="37" t="str">
        <f>IFERROR(__xludf.DUMMYFUNCTION("""COMPUTED_VALUE"""),"SPORTCOMPLEX Břeclav")</f>
        <v>SPORTCOMPLEX Břeclav</v>
      </c>
      <c r="H40" s="37" t="str">
        <f>IFERROR(__xludf.DUMMYFUNCTION("""COMPUTED_VALUE"""),"F*KAD")</f>
        <v>F*KAD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 t="s">
        <v>90</v>
      </c>
      <c r="B41" s="35">
        <v>89.0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)"),"10126564469")</f>
        <v>10126564469</v>
      </c>
      <c r="D41" s="37" t="str">
        <f>IFERROR(__xludf.DUMMYFUNCTION("""COMPUTED_VALUE"""),"Jaklová")</f>
        <v>Jaklová</v>
      </c>
      <c r="E41" s="37" t="str">
        <f>IFERROR(__xludf.DUMMYFUNCTION("""COMPUTED_VALUE"""),"Nella Gabriela")</f>
        <v>Nella Gabriela</v>
      </c>
      <c r="F41" s="37" t="str">
        <f>IFERROR(__xludf.DUMMYFUNCTION("""COMPUTED_VALUE"""),"CZE")</f>
        <v>CZE</v>
      </c>
      <c r="G41" s="37" t="str">
        <f>IFERROR(__xludf.DUMMYFUNCTION("""COMPUTED_VALUE"""),"BIKE PRO RACING")</f>
        <v>BIKE PRO RACING</v>
      </c>
      <c r="H41" s="37" t="str">
        <f>IFERROR(__xludf.DUMMYFUNCTION("""COMPUTED_VALUE"""),"F*KAD")</f>
        <v>F*KAD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 t="s">
        <v>90</v>
      </c>
      <c r="B42" s="35">
        <v>86.0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)"),"10160700890")</f>
        <v>10160700890</v>
      </c>
      <c r="D42" s="37" t="str">
        <f>IFERROR(__xludf.DUMMYFUNCTION("""COMPUTED_VALUE"""),"Bobková")</f>
        <v>Bobková</v>
      </c>
      <c r="E42" s="37" t="str">
        <f>IFERROR(__xludf.DUMMYFUNCTION("""COMPUTED_VALUE"""),"Tamara")</f>
        <v>Tamara</v>
      </c>
      <c r="F42" s="37" t="str">
        <f>IFERROR(__xludf.DUMMYFUNCTION("""COMPUTED_VALUE"""),"CZE")</f>
        <v>CZE</v>
      </c>
      <c r="G42" s="37" t="str">
        <f>IFERROR(__xludf.DUMMYFUNCTION("""COMPUTED_VALUE"""),"BB Com Devcity")</f>
        <v>BB Com Devcity</v>
      </c>
      <c r="H42" s="37" t="str">
        <f>IFERROR(__xludf.DUMMYFUNCTION("""COMPUTED_VALUE"""),"F*KAD")</f>
        <v>F*KAD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 t="s">
        <v>37</v>
      </c>
      <c r="B43" s="35">
        <v>185.0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)"),"10126408966")</f>
        <v>10126408966</v>
      </c>
      <c r="D43" s="37" t="str">
        <f>IFERROR(__xludf.DUMMYFUNCTION("""COMPUTED_VALUE"""),"Matyasik")</f>
        <v>Matyasik</v>
      </c>
      <c r="E43" s="37" t="str">
        <f>IFERROR(__xludf.DUMMYFUNCTION("""COMPUTED_VALUE"""),"Marta")</f>
        <v>Marta</v>
      </c>
      <c r="F43" s="37" t="str">
        <f>IFERROR(__xludf.DUMMYFUNCTION("""COMPUTED_VALUE"""),"POL")</f>
        <v>POL</v>
      </c>
      <c r="G43" s="37" t="str">
        <f>IFERROR(__xludf.DUMMYFUNCTION("""COMPUTED_VALUE"""),"Niezrzeszony")</f>
        <v>Niezrzeszony</v>
      </c>
      <c r="H43" s="37" t="str">
        <f>IFERROR(__xludf.DUMMYFUNCTION("""COMPUTED_VALUE"""),"F*KAD")</f>
        <v>F*KAD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 t="s">
        <v>39</v>
      </c>
      <c r="B44" s="38"/>
      <c r="C44" s="41">
        <v>1.0149819312E10</v>
      </c>
      <c r="D44" s="41" t="s">
        <v>91</v>
      </c>
      <c r="E44" s="41" t="s">
        <v>92</v>
      </c>
      <c r="F44" s="41" t="s">
        <v>42</v>
      </c>
      <c r="G44" s="41" t="s">
        <v>93</v>
      </c>
      <c r="H44" s="41" t="s">
        <v>89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 t="s">
        <v>39</v>
      </c>
      <c r="B45" s="38"/>
      <c r="C45" s="41">
        <v>1.011605947E10</v>
      </c>
      <c r="D45" s="41" t="s">
        <v>94</v>
      </c>
      <c r="E45" s="41" t="s">
        <v>95</v>
      </c>
      <c r="F45" s="41" t="s">
        <v>49</v>
      </c>
      <c r="G45" s="41" t="s">
        <v>70</v>
      </c>
      <c r="H45" s="41" t="s">
        <v>89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 t="s">
        <v>39</v>
      </c>
      <c r="B46" s="38"/>
      <c r="C46" s="41">
        <v>1.0066396177E10</v>
      </c>
      <c r="D46" s="41" t="s">
        <v>96</v>
      </c>
      <c r="E46" s="41" t="s">
        <v>97</v>
      </c>
      <c r="F46" s="41" t="s">
        <v>49</v>
      </c>
      <c r="G46" s="41" t="s">
        <v>98</v>
      </c>
      <c r="H46" s="41" t="s">
        <v>89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4.0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B26B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99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100</v>
      </c>
      <c r="C9" s="21"/>
      <c r="D9" s="23" t="s">
        <v>18</v>
      </c>
      <c r="E9" s="24">
        <v>40.0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66.0</v>
      </c>
      <c r="D12" s="18" t="s">
        <v>25</v>
      </c>
      <c r="E12" s="26">
        <v>58.0</v>
      </c>
      <c r="F12" s="28"/>
      <c r="G12" s="18" t="s">
        <v>26</v>
      </c>
      <c r="H12" s="26">
        <v>43.0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132.0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)"),"10115971362")</f>
        <v>10115971362</v>
      </c>
      <c r="D15" s="37" t="str">
        <f>IFERROR(__xludf.DUMMYFUNCTION("""COMPUTED_VALUE"""),"Benda")</f>
        <v>Benda</v>
      </c>
      <c r="E15" s="37" t="str">
        <f>IFERROR(__xludf.DUMMYFUNCTION("""COMPUTED_VALUE"""),"Stanislav")</f>
        <v>Stanislav</v>
      </c>
      <c r="F15" s="37" t="str">
        <f>IFERROR(__xludf.DUMMYFUNCTION("""COMPUTED_VALUE"""),"CZE")</f>
        <v>CZE</v>
      </c>
      <c r="G15" s="37" t="str">
        <f>IFERROR(__xludf.DUMMYFUNCTION("""COMPUTED_VALUE"""),"Expres CZ Elmtrade Team Kolín")</f>
        <v>Expres CZ Elmtrade Team Kolín</v>
      </c>
      <c r="H15" s="37" t="str">
        <f>IFERROR(__xludf.DUMMYFUNCTION("""COMPUTED_VALUE"""),"ŽS")</f>
        <v>ŽS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167.0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)"),"10154298890")</f>
        <v>10154298890</v>
      </c>
      <c r="D16" s="37" t="str">
        <f>IFERROR(__xludf.DUMMYFUNCTION("""COMPUTED_VALUE"""),"Janoušek")</f>
        <v>Janoušek</v>
      </c>
      <c r="E16" s="37" t="str">
        <f>IFERROR(__xludf.DUMMYFUNCTION("""COMPUTED_VALUE"""),"Roman")</f>
        <v>Roman</v>
      </c>
      <c r="F16" s="37" t="str">
        <f>IFERROR(__xludf.DUMMYFUNCTION("""COMPUTED_VALUE"""),"CZE")</f>
        <v>CZE</v>
      </c>
      <c r="G16" s="37" t="str">
        <f>IFERROR(__xludf.DUMMYFUNCTION("""COMPUTED_VALUE"""),"REXONIX KOVO PRAHA")</f>
        <v>REXONIX KOVO PRAHA</v>
      </c>
      <c r="H16" s="37" t="str">
        <f>IFERROR(__xludf.DUMMYFUNCTION("""COMPUTED_VALUE"""),"ŽS")</f>
        <v>ŽS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163.0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)"),"10082331863")</f>
        <v>10082331863</v>
      </c>
      <c r="D17" s="37" t="str">
        <f>IFERROR(__xludf.DUMMYFUNCTION("""COMPUTED_VALUE"""),"Semerád")</f>
        <v>Semerád</v>
      </c>
      <c r="E17" s="37" t="str">
        <f>IFERROR(__xludf.DUMMYFUNCTION("""COMPUTED_VALUE"""),"Marek")</f>
        <v>Marek</v>
      </c>
      <c r="F17" s="37" t="str">
        <f>IFERROR(__xludf.DUMMYFUNCTION("""COMPUTED_VALUE"""),"CZE")</f>
        <v>CZE</v>
      </c>
      <c r="G17" s="37" t="str">
        <f>IFERROR(__xludf.DUMMYFUNCTION("""COMPUTED_VALUE"""),"REXONIX KOVO PRAHA")</f>
        <v>REXONIX KOVO PRAHA</v>
      </c>
      <c r="H17" s="37" t="str">
        <f>IFERROR(__xludf.DUMMYFUNCTION("""COMPUTED_VALUE"""),"ŽS")</f>
        <v>ŽS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134.0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)"),"10116430595")</f>
        <v>10116430595</v>
      </c>
      <c r="D18" s="37" t="str">
        <f>IFERROR(__xludf.DUMMYFUNCTION("""COMPUTED_VALUE"""),"Frolík")</f>
        <v>Frolík</v>
      </c>
      <c r="E18" s="37" t="str">
        <f>IFERROR(__xludf.DUMMYFUNCTION("""COMPUTED_VALUE"""),"Václav")</f>
        <v>Václav</v>
      </c>
      <c r="F18" s="37" t="str">
        <f>IFERROR(__xludf.DUMMYFUNCTION("""COMPUTED_VALUE"""),"CZE")</f>
        <v>CZE</v>
      </c>
      <c r="G18" s="37" t="str">
        <f>IFERROR(__xludf.DUMMYFUNCTION("""COMPUTED_VALUE"""),"FIEGE VELO AKADEMIE")</f>
        <v>FIEGE VELO AKADEMIE</v>
      </c>
      <c r="H18" s="37" t="str">
        <f>IFERROR(__xludf.DUMMYFUNCTION("""COMPUTED_VALUE"""),"ŽS")</f>
        <v>ŽS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385.0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)"),"10133513915")</f>
        <v>10133513915</v>
      </c>
      <c r="D19" s="37" t="str">
        <f>IFERROR(__xludf.DUMMYFUNCTION("""COMPUTED_VALUE"""),"KUPKA")</f>
        <v>KUPKA</v>
      </c>
      <c r="E19" s="37" t="str">
        <f>IFERROR(__xludf.DUMMYFUNCTION("""COMPUTED_VALUE"""),"KAROL")</f>
        <v>KAROL</v>
      </c>
      <c r="F19" s="37" t="str">
        <f>IFERROR(__xludf.DUMMYFUNCTION("""COMPUTED_VALUE"""),"POL")</f>
        <v>POL</v>
      </c>
      <c r="G19" s="37" t="str">
        <f>IFERROR(__xludf.DUMMYFUNCTION("""COMPUTED_VALUE"""),"UKS AVATAR SILSIA TEAM")</f>
        <v>UKS AVATAR SILSIA TEAM</v>
      </c>
      <c r="H19" s="37" t="str">
        <f>IFERROR(__xludf.DUMMYFUNCTION("""COMPUTED_VALUE"""),"ŽS")</f>
        <v>ŽS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176.0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)"),"10135142000")</f>
        <v>10135142000</v>
      </c>
      <c r="D20" s="37" t="str">
        <f>IFERROR(__xludf.DUMMYFUNCTION("""COMPUTED_VALUE"""),"Hurák")</f>
        <v>Hurák</v>
      </c>
      <c r="E20" s="37" t="str">
        <f>IFERROR(__xludf.DUMMYFUNCTION("""COMPUTED_VALUE"""),"Štěpán")</f>
        <v>Štěpán</v>
      </c>
      <c r="F20" s="37" t="str">
        <f>IFERROR(__xludf.DUMMYFUNCTION("""COMPUTED_VALUE"""),"CZE")</f>
        <v>CZE</v>
      </c>
      <c r="G20" s="37" t="str">
        <f>IFERROR(__xludf.DUMMYFUNCTION("""COMPUTED_VALUE"""),"TJ AUTO ŠKODA Mladá Boleslav")</f>
        <v>TJ AUTO ŠKODA Mladá Boleslav</v>
      </c>
      <c r="H20" s="37" t="str">
        <f>IFERROR(__xludf.DUMMYFUNCTION("""COMPUTED_VALUE"""),"ŽS")</f>
        <v>ŽS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139.0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)"),"10119462352")</f>
        <v>10119462352</v>
      </c>
      <c r="D21" s="37" t="str">
        <f>IFERROR(__xludf.DUMMYFUNCTION("""COMPUTED_VALUE"""),"Šimeček")</f>
        <v>Šimeček</v>
      </c>
      <c r="E21" s="37" t="str">
        <f>IFERROR(__xludf.DUMMYFUNCTION("""COMPUTED_VALUE"""),"Kryštof")</f>
        <v>Kryštof</v>
      </c>
      <c r="F21" s="37" t="str">
        <f>IFERROR(__xludf.DUMMYFUNCTION("""COMPUTED_VALUE"""),"CZE")</f>
        <v>CZE</v>
      </c>
      <c r="G21" s="37" t="str">
        <f>IFERROR(__xludf.DUMMYFUNCTION("""COMPUTED_VALUE"""),"HSF SYSTEM CYCLING TEAM")</f>
        <v>HSF SYSTEM CYCLING TEAM</v>
      </c>
      <c r="H21" s="37" t="str">
        <f>IFERROR(__xludf.DUMMYFUNCTION("""COMPUTED_VALUE"""),"ŽS")</f>
        <v>ŽS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104.0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)"),"10165277169")</f>
        <v>10165277169</v>
      </c>
      <c r="D22" s="37" t="str">
        <f>IFERROR(__xludf.DUMMYFUNCTION("""COMPUTED_VALUE"""),"Blauensteiner")</f>
        <v>Blauensteiner</v>
      </c>
      <c r="E22" s="37" t="str">
        <f>IFERROR(__xludf.DUMMYFUNCTION("""COMPUTED_VALUE"""),"Levi")</f>
        <v>Levi</v>
      </c>
      <c r="F22" s="37" t="str">
        <f>IFERROR(__xludf.DUMMYFUNCTION("""COMPUTED_VALUE"""),"AUT")</f>
        <v>AUT</v>
      </c>
      <c r="G22" s="37" t="str">
        <f>IFERROR(__xludf.DUMMYFUNCTION("""COMPUTED_VALUE"""),"ARBÖ ASKÖ RLM Wien")</f>
        <v>ARBÖ ASKÖ RLM Wien</v>
      </c>
      <c r="H22" s="37" t="str">
        <f>IFERROR(__xludf.DUMMYFUNCTION("""COMPUTED_VALUE"""),"ŽS")</f>
        <v>ŽS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386.0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)"),"10154918074")</f>
        <v>10154918074</v>
      </c>
      <c r="D23" s="37" t="str">
        <f>IFERROR(__xludf.DUMMYFUNCTION("""COMPUTED_VALUE"""),"WYSPIAŃSKI")</f>
        <v>WYSPIAŃSKI</v>
      </c>
      <c r="E23" s="37" t="str">
        <f>IFERROR(__xludf.DUMMYFUNCTION("""COMPUTED_VALUE"""),"IGNACY")</f>
        <v>IGNACY</v>
      </c>
      <c r="F23" s="37" t="str">
        <f>IFERROR(__xludf.DUMMYFUNCTION("""COMPUTED_VALUE"""),"POL")</f>
        <v>POL</v>
      </c>
      <c r="G23" s="37" t="str">
        <f>IFERROR(__xludf.DUMMYFUNCTION("""COMPUTED_VALUE"""),"UKS AVATAR SILSIA TEAM")</f>
        <v>UKS AVATAR SILSIA TEAM</v>
      </c>
      <c r="H23" s="37" t="str">
        <f>IFERROR(__xludf.DUMMYFUNCTION("""COMPUTED_VALUE"""),"ŽS")</f>
        <v>ŽS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118.0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 t="str">
        <f>IFERROR(__xludf.DUMMYFUNCTION("""COMPUTED_VALUE"""),"LIESKOVSKÝ")</f>
        <v>LIESKOVSKÝ</v>
      </c>
      <c r="E24" s="37" t="str">
        <f>IFERROR(__xludf.DUMMYFUNCTION("""COMPUTED_VALUE"""),"Tomáš")</f>
        <v>Tomáš</v>
      </c>
      <c r="F24" s="37" t="str">
        <f>IFERROR(__xludf.DUMMYFUNCTION("""COMPUTED_VALUE"""),"SVK")</f>
        <v>SVK</v>
      </c>
      <c r="G24" s="37" t="str">
        <f>IFERROR(__xludf.DUMMYFUNCTION("""COMPUTED_VALUE"""),"CK EPIC Dohňany")</f>
        <v>CK EPIC Dohňany</v>
      </c>
      <c r="H24" s="37" t="str">
        <f>IFERROR(__xludf.DUMMYFUNCTION("""COMPUTED_VALUE"""),"ŽS")</f>
        <v>ŽS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111.0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)"),"10145662153")</f>
        <v>10145662153</v>
      </c>
      <c r="D25" s="37" t="str">
        <f>IFERROR(__xludf.DUMMYFUNCTION("""COMPUTED_VALUE"""),"Pospíšil")</f>
        <v>Pospíšil</v>
      </c>
      <c r="E25" s="37" t="str">
        <f>IFERROR(__xludf.DUMMYFUNCTION("""COMPUTED_VALUE"""),"Filip")</f>
        <v>Filip</v>
      </c>
      <c r="F25" s="37" t="str">
        <f>IFERROR(__xludf.DUMMYFUNCTION("""COMPUTED_VALUE"""),"CZE")</f>
        <v>CZE</v>
      </c>
      <c r="G25" s="37" t="str">
        <f>IFERROR(__xludf.DUMMYFUNCTION("""COMPUTED_VALUE"""),"BRILON RACING TEAM MB")</f>
        <v>BRILON RACING TEAM MB</v>
      </c>
      <c r="H25" s="37" t="str">
        <f>IFERROR(__xludf.DUMMYFUNCTION("""COMPUTED_VALUE"""),"ŽS")</f>
        <v>ŽS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126.0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)"),"10133950819")</f>
        <v>10133950819</v>
      </c>
      <c r="D26" s="37" t="str">
        <f>IFERROR(__xludf.DUMMYFUNCTION("""COMPUTED_VALUE"""),"Smrčka")</f>
        <v>Smrčka</v>
      </c>
      <c r="E26" s="37" t="str">
        <f>IFERROR(__xludf.DUMMYFUNCTION("""COMPUTED_VALUE"""),"Matyáš")</f>
        <v>Matyáš</v>
      </c>
      <c r="F26" s="37" t="str">
        <f>IFERROR(__xludf.DUMMYFUNCTION("""COMPUTED_VALUE"""),"CZE")</f>
        <v>CZE</v>
      </c>
      <c r="G26" s="37" t="str">
        <f>IFERROR(__xludf.DUMMYFUNCTION("""COMPUTED_VALUE"""),"CYCLING ACADEMY TÁBOR")</f>
        <v>CYCLING ACADEMY TÁBOR</v>
      </c>
      <c r="H26" s="37" t="str">
        <f>IFERROR(__xludf.DUMMYFUNCTION("""COMPUTED_VALUE"""),"ŽS")</f>
        <v>ŽS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175.0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)"),"10120263412")</f>
        <v>10120263412</v>
      </c>
      <c r="D27" s="37" t="str">
        <f>IFERROR(__xludf.DUMMYFUNCTION("""COMPUTED_VALUE"""),"Lodr")</f>
        <v>Lodr</v>
      </c>
      <c r="E27" s="37" t="str">
        <f>IFERROR(__xludf.DUMMYFUNCTION("""COMPUTED_VALUE"""),"Oliver")</f>
        <v>Oliver</v>
      </c>
      <c r="F27" s="37" t="str">
        <f>IFERROR(__xludf.DUMMYFUNCTION("""COMPUTED_VALUE"""),"CZE")</f>
        <v>CZE</v>
      </c>
      <c r="G27" s="37" t="str">
        <f>IFERROR(__xludf.DUMMYFUNCTION("""COMPUTED_VALUE"""),"TJ AUTO ŠKODA Mladá Boleslav")</f>
        <v>TJ AUTO ŠKODA Mladá Boleslav</v>
      </c>
      <c r="H27" s="37" t="str">
        <f>IFERROR(__xludf.DUMMYFUNCTION("""COMPUTED_VALUE"""),"ŽS")</f>
        <v>ŽS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168.0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)"),"10108845296")</f>
        <v>10108845296</v>
      </c>
      <c r="D28" s="37" t="str">
        <f>IFERROR(__xludf.DUMMYFUNCTION("""COMPUTED_VALUE"""),"Malík")</f>
        <v>Malík</v>
      </c>
      <c r="E28" s="37" t="str">
        <f>IFERROR(__xludf.DUMMYFUNCTION("""COMPUTED_VALUE"""),"Marek")</f>
        <v>Marek</v>
      </c>
      <c r="F28" s="37" t="str">
        <f>IFERROR(__xludf.DUMMYFUNCTION("""COMPUTED_VALUE"""),"CZE")</f>
        <v>CZE</v>
      </c>
      <c r="G28" s="37" t="str">
        <f>IFERROR(__xludf.DUMMYFUNCTION("""COMPUTED_VALUE"""),"REXONIX KOVO PRAHA")</f>
        <v>REXONIX KOVO PRAHA</v>
      </c>
      <c r="H28" s="37" t="str">
        <f>IFERROR(__xludf.DUMMYFUNCTION("""COMPUTED_VALUE"""),"ŽS")</f>
        <v>ŽS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128.0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)"),"10114281643")</f>
        <v>10114281643</v>
      </c>
      <c r="D29" s="37" t="str">
        <f>IFERROR(__xludf.DUMMYFUNCTION("""COMPUTED_VALUE"""),"GALOVIČ")</f>
        <v>GALOVIČ</v>
      </c>
      <c r="E29" s="37" t="str">
        <f>IFERROR(__xludf.DUMMYFUNCTION("""COMPUTED_VALUE"""),"Nikolaj")</f>
        <v>Nikolaj</v>
      </c>
      <c r="F29" s="37" t="str">
        <f>IFERROR(__xludf.DUMMYFUNCTION("""COMPUTED_VALUE"""),"SVK")</f>
        <v>SVK</v>
      </c>
      <c r="G29" s="37" t="str">
        <f>IFERROR(__xludf.DUMMYFUNCTION("""COMPUTED_VALUE"""),"CyS - Akadémia Petra Sagana")</f>
        <v>CyS - Akadémia Petra Sagana</v>
      </c>
      <c r="H29" s="37" t="str">
        <f>IFERROR(__xludf.DUMMYFUNCTION("""COMPUTED_VALUE"""),"ŽS")</f>
        <v>ŽS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381.0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)"),"10140464670")</f>
        <v>10140464670</v>
      </c>
      <c r="D30" s="37" t="str">
        <f>IFERROR(__xludf.DUMMYFUNCTION("""COMPUTED_VALUE"""),"HADFIELD")</f>
        <v>HADFIELD</v>
      </c>
      <c r="E30" s="37" t="str">
        <f>IFERROR(__xludf.DUMMYFUNCTION("""COMPUTED_VALUE"""),"Lukáš")</f>
        <v>Lukáš</v>
      </c>
      <c r="F30" s="37" t="str">
        <f>IFERROR(__xludf.DUMMYFUNCTION("""COMPUTED_VALUE"""),"CZE")</f>
        <v>CZE</v>
      </c>
      <c r="G30" s="37" t="str">
        <f>IFERROR(__xludf.DUMMYFUNCTION("""COMPUTED_VALUE"""),"TJ FAVORIT BRNO")</f>
        <v>TJ FAVORIT BRNO</v>
      </c>
      <c r="H30" s="37" t="str">
        <f>IFERROR(__xludf.DUMMYFUNCTION("""COMPUTED_VALUE"""),"ŽS")</f>
        <v>ŽS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107.0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)"),"10149888727")</f>
        <v>10149888727</v>
      </c>
      <c r="D31" s="37" t="str">
        <f>IFERROR(__xludf.DUMMYFUNCTION("""COMPUTED_VALUE"""),"Grygar")</f>
        <v>Grygar</v>
      </c>
      <c r="E31" s="37" t="str">
        <f>IFERROR(__xludf.DUMMYFUNCTION("""COMPUTED_VALUE"""),"Tomáš")</f>
        <v>Tomáš</v>
      </c>
      <c r="F31" s="37" t="str">
        <f>IFERROR(__xludf.DUMMYFUNCTION("""COMPUTED_VALUE"""),"CZE")</f>
        <v>CZE</v>
      </c>
      <c r="G31" s="37" t="str">
        <f>IFERROR(__xludf.DUMMYFUNCTION("""COMPUTED_VALUE"""),"BIKE PRO RACING")</f>
        <v>BIKE PRO RACING</v>
      </c>
      <c r="H31" s="37" t="str">
        <f>IFERROR(__xludf.DUMMYFUNCTION("""COMPUTED_VALUE"""),"ŽS")</f>
        <v>ŽS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161.0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)"),"10106542861")</f>
        <v>10106542861</v>
      </c>
      <c r="D32" s="37" t="str">
        <f>IFERROR(__xludf.DUMMYFUNCTION("""COMPUTED_VALUE"""),"Ruman")</f>
        <v>Ruman</v>
      </c>
      <c r="E32" s="37" t="str">
        <f>IFERROR(__xludf.DUMMYFUNCTION("""COMPUTED_VALUE"""),"Filip")</f>
        <v>Filip</v>
      </c>
      <c r="F32" s="37" t="str">
        <f>IFERROR(__xludf.DUMMYFUNCTION("""COMPUTED_VALUE"""),"CZE")</f>
        <v>CZE</v>
      </c>
      <c r="G32" s="37" t="str">
        <f>IFERROR(__xludf.DUMMYFUNCTION("""COMPUTED_VALUE"""),"MS BIKE ACADEMY Racing")</f>
        <v>MS BIKE ACADEMY Racing</v>
      </c>
      <c r="H32" s="37" t="str">
        <f>IFERROR(__xludf.DUMMYFUNCTION("""COMPUTED_VALUE"""),"ŽS")</f>
        <v>ŽS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125.0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)"),"10151477406")</f>
        <v>10151477406</v>
      </c>
      <c r="D33" s="37" t="str">
        <f>IFERROR(__xludf.DUMMYFUNCTION("""COMPUTED_VALUE"""),"Vašíček")</f>
        <v>Vašíček</v>
      </c>
      <c r="E33" s="37" t="str">
        <f>IFERROR(__xludf.DUMMYFUNCTION("""COMPUTED_VALUE"""),"Jiří")</f>
        <v>Jiří</v>
      </c>
      <c r="F33" s="37" t="str">
        <f>IFERROR(__xludf.DUMMYFUNCTION("""COMPUTED_VALUE"""),"CZE")</f>
        <v>CZE</v>
      </c>
      <c r="G33" s="37" t="str">
        <f>IFERROR(__xludf.DUMMYFUNCTION("""COMPUTED_VALUE"""),"CP Team")</f>
        <v>CP Team</v>
      </c>
      <c r="H33" s="37" t="str">
        <f>IFERROR(__xludf.DUMMYFUNCTION("""COMPUTED_VALUE"""),"ŽS")</f>
        <v>ŽS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123.0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)"),"10135009028")</f>
        <v>10135009028</v>
      </c>
      <c r="D34" s="37" t="str">
        <f>IFERROR(__xludf.DUMMYFUNCTION("""COMPUTED_VALUE"""),"Jakub")</f>
        <v>Jakub</v>
      </c>
      <c r="E34" s="37" t="str">
        <f>IFERROR(__xludf.DUMMYFUNCTION("""COMPUTED_VALUE"""),"Lamoš")</f>
        <v>Lamoš</v>
      </c>
      <c r="F34" s="37" t="str">
        <f>IFERROR(__xludf.DUMMYFUNCTION("""COMPUTED_VALUE"""),"SVK")</f>
        <v>SVK</v>
      </c>
      <c r="G34" s="37" t="str">
        <f>IFERROR(__xludf.DUMMYFUNCTION("""COMPUTED_VALUE"""),"CLIMBERG")</f>
        <v>CLIMBERG</v>
      </c>
      <c r="H34" s="37" t="str">
        <f>IFERROR(__xludf.DUMMYFUNCTION("""COMPUTED_VALUE"""),"ŽS")</f>
        <v>ŽS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384.0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)"),"10142290391")</f>
        <v>10142290391</v>
      </c>
      <c r="D35" s="37" t="str">
        <f>IFERROR(__xludf.DUMMYFUNCTION("""COMPUTED_VALUE"""),"Vrána")</f>
        <v>Vrána</v>
      </c>
      <c r="E35" s="37" t="str">
        <f>IFERROR(__xludf.DUMMYFUNCTION("""COMPUTED_VALUE"""),"Richard")</f>
        <v>Richard</v>
      </c>
      <c r="F35" s="37" t="str">
        <f>IFERROR(__xludf.DUMMYFUNCTION("""COMPUTED_VALUE"""),"CZE")</f>
        <v>CZE</v>
      </c>
      <c r="G35" s="37" t="str">
        <f>IFERROR(__xludf.DUMMYFUNCTION("""COMPUTED_VALUE"""),"TUFO PARDUS Prostějov")</f>
        <v>TUFO PARDUS Prostějov</v>
      </c>
      <c r="H35" s="37" t="str">
        <f>IFERROR(__xludf.DUMMYFUNCTION("""COMPUTED_VALUE"""),"ŽS")</f>
        <v>ŽS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127.0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)"),"10133951021")</f>
        <v>10133951021</v>
      </c>
      <c r="D36" s="37" t="str">
        <f>IFERROR(__xludf.DUMMYFUNCTION("""COMPUTED_VALUE"""),"Vlasák")</f>
        <v>Vlasák</v>
      </c>
      <c r="E36" s="37" t="str">
        <f>IFERROR(__xludf.DUMMYFUNCTION("""COMPUTED_VALUE"""),"Jakub")</f>
        <v>Jakub</v>
      </c>
      <c r="F36" s="37" t="str">
        <f>IFERROR(__xludf.DUMMYFUNCTION("""COMPUTED_VALUE"""),"CZE")</f>
        <v>CZE</v>
      </c>
      <c r="G36" s="37" t="str">
        <f>IFERROR(__xludf.DUMMYFUNCTION("""COMPUTED_VALUE"""),"CYCLING ACYDEMY TÁBOR")</f>
        <v>CYCLING ACYDEMY TÁBOR</v>
      </c>
      <c r="H36" s="37" t="str">
        <f>IFERROR(__xludf.DUMMYFUNCTION("""COMPUTED_VALUE"""),"ŽS")</f>
        <v>ŽS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110.0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)"),"10152364348")</f>
        <v>10152364348</v>
      </c>
      <c r="D37" s="37" t="str">
        <f>IFERROR(__xludf.DUMMYFUNCTION("""COMPUTED_VALUE"""),"Drha")</f>
        <v>Drha</v>
      </c>
      <c r="E37" s="37" t="str">
        <f>IFERROR(__xludf.DUMMYFUNCTION("""COMPUTED_VALUE"""),"Jan")</f>
        <v>Jan</v>
      </c>
      <c r="F37" s="37" t="str">
        <f>IFERROR(__xludf.DUMMYFUNCTION("""COMPUTED_VALUE"""),"CZE")</f>
        <v>CZE</v>
      </c>
      <c r="G37" s="37" t="str">
        <f>IFERROR(__xludf.DUMMYFUNCTION("""COMPUTED_VALUE"""),"BRILON RACING TEAM MB")</f>
        <v>BRILON RACING TEAM MB</v>
      </c>
      <c r="H37" s="37" t="str">
        <f>IFERROR(__xludf.DUMMYFUNCTION("""COMPUTED_VALUE"""),"ŽS")</f>
        <v>ŽS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179.0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)"),"10157761588")</f>
        <v>10157761588</v>
      </c>
      <c r="D38" s="37" t="str">
        <f>IFERROR(__xludf.DUMMYFUNCTION("""COMPUTED_VALUE"""),"LAZAR")</f>
        <v>LAZAR</v>
      </c>
      <c r="E38" s="37" t="str">
        <f>IFERROR(__xludf.DUMMYFUNCTION("""COMPUTED_VALUE"""),"Tobiáš")</f>
        <v>Tobiáš</v>
      </c>
      <c r="F38" s="37" t="str">
        <f>IFERROR(__xludf.DUMMYFUNCTION("""COMPUTED_VALUE"""),"CZE")</f>
        <v>CZE</v>
      </c>
      <c r="G38" s="37" t="str">
        <f>IFERROR(__xludf.DUMMYFUNCTION("""COMPUTED_VALUE"""),"TJ FAVORIT BRNO")</f>
        <v>TJ FAVORIT BRNO</v>
      </c>
      <c r="H38" s="37" t="str">
        <f>IFERROR(__xludf.DUMMYFUNCTION("""COMPUTED_VALUE"""),"ŽS")</f>
        <v>ŽS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122.0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)"),"10116683001")</f>
        <v>10116683001</v>
      </c>
      <c r="D39" s="37" t="str">
        <f>IFERROR(__xludf.DUMMYFUNCTION("""COMPUTED_VALUE"""),"Martin")</f>
        <v>Martin</v>
      </c>
      <c r="E39" s="37" t="str">
        <f>IFERROR(__xludf.DUMMYFUNCTION("""COMPUTED_VALUE"""),"Chrastina")</f>
        <v>Chrastina</v>
      </c>
      <c r="F39" s="37" t="str">
        <f>IFERROR(__xludf.DUMMYFUNCTION("""COMPUTED_VALUE"""),"SVK")</f>
        <v>SVK</v>
      </c>
      <c r="G39" s="37" t="str">
        <f>IFERROR(__xludf.DUMMYFUNCTION("""COMPUTED_VALUE"""),"CLIMBERG")</f>
        <v>CLIMBERG</v>
      </c>
      <c r="H39" s="37" t="str">
        <f>IFERROR(__xludf.DUMMYFUNCTION("""COMPUTED_VALUE"""),"ŽS")</f>
        <v>ŽS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>
        <v>26.0</v>
      </c>
      <c r="B40" s="35">
        <v>120.0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)"),"10127979053")</f>
        <v>10127979053</v>
      </c>
      <c r="D40" s="37" t="str">
        <f>IFERROR(__xludf.DUMMYFUNCTION("""COMPUTED_VALUE"""),"Možucha")</f>
        <v>Možucha</v>
      </c>
      <c r="E40" s="37" t="str">
        <f>IFERROR(__xludf.DUMMYFUNCTION("""COMPUTED_VALUE"""),"Lukáš")</f>
        <v>Lukáš</v>
      </c>
      <c r="F40" s="37" t="str">
        <f>IFERROR(__xludf.DUMMYFUNCTION("""COMPUTED_VALUE"""),"SVK")</f>
        <v>SVK</v>
      </c>
      <c r="G40" s="37" t="str">
        <f>IFERROR(__xludf.DUMMYFUNCTION("""COMPUTED_VALUE"""),"CK Olympik Trnava")</f>
        <v>CK Olympik Trnava</v>
      </c>
      <c r="H40" s="37" t="str">
        <f>IFERROR(__xludf.DUMMYFUNCTION("""COMPUTED_VALUE"""),"ŽS")</f>
        <v>ŽS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>
        <v>27.0</v>
      </c>
      <c r="B41" s="35">
        <v>124.0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)"),"10065802962")</f>
        <v>10065802962</v>
      </c>
      <c r="D41" s="37" t="str">
        <f>IFERROR(__xludf.DUMMYFUNCTION("""COMPUTED_VALUE"""),"Peter")</f>
        <v>Peter</v>
      </c>
      <c r="E41" s="37" t="str">
        <f>IFERROR(__xludf.DUMMYFUNCTION("""COMPUTED_VALUE"""),"ŽáČek")</f>
        <v>ŽáČek</v>
      </c>
      <c r="F41" s="37" t="str">
        <f>IFERROR(__xludf.DUMMYFUNCTION("""COMPUTED_VALUE"""),"SVK")</f>
        <v>SVK</v>
      </c>
      <c r="G41" s="37" t="str">
        <f>IFERROR(__xludf.DUMMYFUNCTION("""COMPUTED_VALUE"""),"CLIMBERG")</f>
        <v>CLIMBERG</v>
      </c>
      <c r="H41" s="37" t="str">
        <f>IFERROR(__xludf.DUMMYFUNCTION("""COMPUTED_VALUE"""),"ŽS")</f>
        <v>ŽS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>
        <v>28.0</v>
      </c>
      <c r="B42" s="35">
        <v>383.0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)"),"10130649280")</f>
        <v>10130649280</v>
      </c>
      <c r="D42" s="37" t="str">
        <f>IFERROR(__xludf.DUMMYFUNCTION("""COMPUTED_VALUE"""),"Dedek")</f>
        <v>Dedek</v>
      </c>
      <c r="E42" s="37" t="str">
        <f>IFERROR(__xludf.DUMMYFUNCTION("""COMPUTED_VALUE"""),"Jakub")</f>
        <v>Jakub</v>
      </c>
      <c r="F42" s="37" t="str">
        <f>IFERROR(__xludf.DUMMYFUNCTION("""COMPUTED_VALUE"""),"CZE")</f>
        <v>CZE</v>
      </c>
      <c r="G42" s="37" t="str">
        <f>IFERROR(__xludf.DUMMYFUNCTION("""COMPUTED_VALUE"""),"TUFO PARDUS Prostějov")</f>
        <v>TUFO PARDUS Prostějov</v>
      </c>
      <c r="H42" s="37" t="str">
        <f>IFERROR(__xludf.DUMMYFUNCTION("""COMPUTED_VALUE"""),"ŽS")</f>
        <v>ŽS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>
        <v>29.0</v>
      </c>
      <c r="B43" s="35">
        <v>180.0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)"),"10140521557")</f>
        <v>10140521557</v>
      </c>
      <c r="D43" s="37" t="str">
        <f>IFERROR(__xludf.DUMMYFUNCTION("""COMPUTED_VALUE"""),"ZEMAN")</f>
        <v>ZEMAN</v>
      </c>
      <c r="E43" s="37" t="str">
        <f>IFERROR(__xludf.DUMMYFUNCTION("""COMPUTED_VALUE"""),"Filip")</f>
        <v>Filip</v>
      </c>
      <c r="F43" s="37" t="str">
        <f>IFERROR(__xludf.DUMMYFUNCTION("""COMPUTED_VALUE"""),"CZE")</f>
        <v>CZE</v>
      </c>
      <c r="G43" s="37" t="str">
        <f>IFERROR(__xludf.DUMMYFUNCTION("""COMPUTED_VALUE"""),"TJ FAVORIT BRNO")</f>
        <v>TJ FAVORIT BRNO</v>
      </c>
      <c r="H43" s="37" t="str">
        <f>IFERROR(__xludf.DUMMYFUNCTION("""COMPUTED_VALUE"""),"ŽS")</f>
        <v>ŽS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>
        <v>30.0</v>
      </c>
      <c r="B44" s="35">
        <v>133.0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)"),"10115637320")</f>
        <v>10115637320</v>
      </c>
      <c r="D44" s="37" t="str">
        <f>IFERROR(__xludf.DUMMYFUNCTION("""COMPUTED_VALUE"""),"Seifert")</f>
        <v>Seifert</v>
      </c>
      <c r="E44" s="37" t="str">
        <f>IFERROR(__xludf.DUMMYFUNCTION("""COMPUTED_VALUE"""),"Lukáš")</f>
        <v>Lukáš</v>
      </c>
      <c r="F44" s="37" t="str">
        <f>IFERROR(__xludf.DUMMYFUNCTION("""COMPUTED_VALUE"""),"CZE")</f>
        <v>CZE</v>
      </c>
      <c r="G44" s="37" t="str">
        <f>IFERROR(__xludf.DUMMYFUNCTION("""COMPUTED_VALUE"""),"Expres CZ Elmtrade Team Kolín")</f>
        <v>Expres CZ Elmtrade Team Kolín</v>
      </c>
      <c r="H44" s="37" t="str">
        <f>IFERROR(__xludf.DUMMYFUNCTION("""COMPUTED_VALUE"""),"ŽS")</f>
        <v>ŽS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>
        <v>31.0</v>
      </c>
      <c r="B45" s="35">
        <v>109.0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)"),"10140562175")</f>
        <v>10140562175</v>
      </c>
      <c r="D45" s="37" t="str">
        <f>IFERROR(__xludf.DUMMYFUNCTION("""COMPUTED_VALUE"""),"Kulajta")</f>
        <v>Kulajta</v>
      </c>
      <c r="E45" s="37" t="str">
        <f>IFERROR(__xludf.DUMMYFUNCTION("""COMPUTED_VALUE"""),"Jan")</f>
        <v>Jan</v>
      </c>
      <c r="F45" s="37" t="str">
        <f>IFERROR(__xludf.DUMMYFUNCTION("""COMPUTED_VALUE"""),"CZE")</f>
        <v>CZE</v>
      </c>
      <c r="G45" s="37" t="str">
        <f>IFERROR(__xludf.DUMMYFUNCTION("""COMPUTED_VALUE"""),"BIKE PRO RACING")</f>
        <v>BIKE PRO RACING</v>
      </c>
      <c r="H45" s="37" t="str">
        <f>IFERROR(__xludf.DUMMYFUNCTION("""COMPUTED_VALUE"""),"ŽS")</f>
        <v>ŽS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>
        <v>32.0</v>
      </c>
      <c r="B46" s="35">
        <v>114.0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)"),"10106249134")</f>
        <v>10106249134</v>
      </c>
      <c r="D46" s="37" t="str">
        <f>IFERROR(__xludf.DUMMYFUNCTION("""COMPUTED_VALUE"""),"VRANÁK")</f>
        <v>VRANÁK</v>
      </c>
      <c r="E46" s="37" t="str">
        <f>IFERROR(__xludf.DUMMYFUNCTION("""COMPUTED_VALUE"""),"Marek")</f>
        <v>Marek</v>
      </c>
      <c r="F46" s="37" t="str">
        <f>IFERROR(__xludf.DUMMYFUNCTION("""COMPUTED_VALUE"""),"SVK")</f>
        <v>SVK</v>
      </c>
      <c r="G46" s="37" t="str">
        <f>IFERROR(__xludf.DUMMYFUNCTION("""COMPUTED_VALUE"""),"CK EPIC Dohňany")</f>
        <v>CK EPIC Dohňany</v>
      </c>
      <c r="H46" s="37" t="str">
        <f>IFERROR(__xludf.DUMMYFUNCTION("""COMPUTED_VALUE"""),"ŽS")</f>
        <v>ŽS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>
        <v>33.0</v>
      </c>
      <c r="B47" s="35">
        <v>387.0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)"),"10119925629")</f>
        <v>10119925629</v>
      </c>
      <c r="D47" s="37" t="str">
        <f>IFERROR(__xludf.DUMMYFUNCTION("""COMPUTED_VALUE"""),"Čorba")</f>
        <v>Čorba</v>
      </c>
      <c r="E47" s="37" t="str">
        <f>IFERROR(__xludf.DUMMYFUNCTION("""COMPUTED_VALUE"""),"Aleš")</f>
        <v>Aleš</v>
      </c>
      <c r="F47" s="37" t="str">
        <f>IFERROR(__xludf.DUMMYFUNCTION("""COMPUTED_VALUE"""),"SVK")</f>
        <v>SVK</v>
      </c>
      <c r="G47" s="37" t="str">
        <f>IFERROR(__xludf.DUMMYFUNCTION("""COMPUTED_VALUE"""),"Bike Klub Lipa")</f>
        <v>Bike Klub Lipa</v>
      </c>
      <c r="H47" s="37" t="str">
        <f>IFERROR(__xludf.DUMMYFUNCTION("""COMPUTED_VALUE"""),"ŽS")</f>
        <v>ŽS</v>
      </c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>
        <v>34.0</v>
      </c>
      <c r="B48" s="35">
        <v>136.0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)"),"10150555094")</f>
        <v>10150555094</v>
      </c>
      <c r="D48" s="37" t="str">
        <f>IFERROR(__xludf.DUMMYFUNCTION("""COMPUTED_VALUE"""),"Dlabaja")</f>
        <v>Dlabaja</v>
      </c>
      <c r="E48" s="37" t="str">
        <f>IFERROR(__xludf.DUMMYFUNCTION("""COMPUTED_VALUE"""),"Adam")</f>
        <v>Adam</v>
      </c>
      <c r="F48" s="37" t="str">
        <f>IFERROR(__xludf.DUMMYFUNCTION("""COMPUTED_VALUE"""),"CZE")</f>
        <v>CZE</v>
      </c>
      <c r="G48" s="37" t="str">
        <f>IFERROR(__xludf.DUMMYFUNCTION("""COMPUTED_VALUE"""),"FORCE cycling team Zlín")</f>
        <v>FORCE cycling team Zlín</v>
      </c>
      <c r="H48" s="37" t="str">
        <f>IFERROR(__xludf.DUMMYFUNCTION("""COMPUTED_VALUE"""),"ŽS")</f>
        <v>ŽS</v>
      </c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>
        <v>35.0</v>
      </c>
      <c r="B49" s="35">
        <v>131.0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)"),"10166865747")</f>
        <v>10166865747</v>
      </c>
      <c r="D49" s="37" t="str">
        <f>IFERROR(__xludf.DUMMYFUNCTION("""COMPUTED_VALUE"""),"Matouš")</f>
        <v>Matouš</v>
      </c>
      <c r="E49" s="37" t="str">
        <f>IFERROR(__xludf.DUMMYFUNCTION("""COMPUTED_VALUE"""),"Jáchym")</f>
        <v>Jáchym</v>
      </c>
      <c r="F49" s="37" t="str">
        <f>IFERROR(__xludf.DUMMYFUNCTION("""COMPUTED_VALUE"""),"CZE")</f>
        <v>CZE</v>
      </c>
      <c r="G49" s="37" t="str">
        <f>IFERROR(__xludf.DUMMYFUNCTION("""COMPUTED_VALUE"""),"DUKLA PRAHA")</f>
        <v>DUKLA PRAHA</v>
      </c>
      <c r="H49" s="37" t="str">
        <f>IFERROR(__xludf.DUMMYFUNCTION("""COMPUTED_VALUE"""),"ŽS")</f>
        <v>ŽS</v>
      </c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>
        <v>36.0</v>
      </c>
      <c r="B50" s="35">
        <v>166.0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)"),"10168450281")</f>
        <v>10168450281</v>
      </c>
      <c r="D50" s="37" t="str">
        <f>IFERROR(__xludf.DUMMYFUNCTION("""COMPUTED_VALUE"""),"Dub.")</f>
        <v>Dub.</v>
      </c>
      <c r="E50" s="37" t="str">
        <f>IFERROR(__xludf.DUMMYFUNCTION("""COMPUTED_VALUE"""),"Marek")</f>
        <v>Marek</v>
      </c>
      <c r="F50" s="37" t="str">
        <f>IFERROR(__xludf.DUMMYFUNCTION("""COMPUTED_VALUE"""),"CZE")</f>
        <v>CZE</v>
      </c>
      <c r="G50" s="37" t="str">
        <f>IFERROR(__xludf.DUMMYFUNCTION("""COMPUTED_VALUE"""),"REXONIX KOVO PRAHA")</f>
        <v>REXONIX KOVO PRAHA</v>
      </c>
      <c r="H50" s="37" t="str">
        <f>IFERROR(__xludf.DUMMYFUNCTION("""COMPUTED_VALUE"""),"ŽS")</f>
        <v>ŽS</v>
      </c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>
        <v>37.0</v>
      </c>
      <c r="B51" s="45">
        <v>140.0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)"),"10166865848")</f>
        <v>10166865848</v>
      </c>
      <c r="D51" s="44" t="str">
        <f>IFERROR(__xludf.DUMMYFUNCTION("""COMPUTED_VALUE"""),"Talaš")</f>
        <v>Talaš</v>
      </c>
      <c r="E51" s="44" t="str">
        <f>IFERROR(__xludf.DUMMYFUNCTION("""COMPUTED_VALUE"""),"Albert")</f>
        <v>Albert</v>
      </c>
      <c r="F51" s="44" t="str">
        <f>IFERROR(__xludf.DUMMYFUNCTION("""COMPUTED_VALUE"""),"CZE")</f>
        <v>CZE</v>
      </c>
      <c r="G51" s="44" t="str">
        <f>IFERROR(__xludf.DUMMYFUNCTION("""COMPUTED_VALUE"""),"Mapei Merida Kaňkovský")</f>
        <v>Mapei Merida Kaňkovský</v>
      </c>
      <c r="H51" s="44" t="str">
        <f>IFERROR(__xludf.DUMMYFUNCTION("""COMPUTED_VALUE"""),"ŽS")</f>
        <v>ŽS</v>
      </c>
      <c r="I51" s="4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>
        <v>38.0</v>
      </c>
      <c r="B52" s="45">
        <v>382.0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)"),"10154094786")</f>
        <v>10154094786</v>
      </c>
      <c r="D52" s="44" t="str">
        <f>IFERROR(__xludf.DUMMYFUNCTION("""COMPUTED_VALUE"""),"Zavřel")</f>
        <v>Zavřel</v>
      </c>
      <c r="E52" s="44" t="str">
        <f>IFERROR(__xludf.DUMMYFUNCTION("""COMPUTED_VALUE"""),"Michal")</f>
        <v>Michal</v>
      </c>
      <c r="F52" s="44" t="str">
        <f>IFERROR(__xludf.DUMMYFUNCTION("""COMPUTED_VALUE"""),"CZE")</f>
        <v>CZE</v>
      </c>
      <c r="G52" s="44" t="str">
        <f>IFERROR(__xludf.DUMMYFUNCTION("""COMPUTED_VALUE"""),"TUFO PARDUS Prostějov")</f>
        <v>TUFO PARDUS Prostějov</v>
      </c>
      <c r="H52" s="44" t="str">
        <f>IFERROR(__xludf.DUMMYFUNCTION("""COMPUTED_VALUE"""),"ŽS")</f>
        <v>ŽS</v>
      </c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>
        <v>39.0</v>
      </c>
      <c r="B53" s="45">
        <v>108.0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)"),"10149822039")</f>
        <v>10149822039</v>
      </c>
      <c r="D53" s="44" t="str">
        <f>IFERROR(__xludf.DUMMYFUNCTION("""COMPUTED_VALUE"""),"Hasalík")</f>
        <v>Hasalík</v>
      </c>
      <c r="E53" s="44" t="str">
        <f>IFERROR(__xludf.DUMMYFUNCTION("""COMPUTED_VALUE"""),"Filip")</f>
        <v>Filip</v>
      </c>
      <c r="F53" s="44" t="str">
        <f>IFERROR(__xludf.DUMMYFUNCTION("""COMPUTED_VALUE"""),"CZE")</f>
        <v>CZE</v>
      </c>
      <c r="G53" s="44" t="str">
        <f>IFERROR(__xludf.DUMMYFUNCTION("""COMPUTED_VALUE"""),"BIKE PRO RACING")</f>
        <v>BIKE PRO RACING</v>
      </c>
      <c r="H53" s="44" t="str">
        <f>IFERROR(__xludf.DUMMYFUNCTION("""COMPUTED_VALUE"""),"ŽS")</f>
        <v>ŽS</v>
      </c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>
        <v>40.0</v>
      </c>
      <c r="B54" s="45">
        <v>388.0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)"),"10117783747")</f>
        <v>10117783747</v>
      </c>
      <c r="D54" s="44" t="str">
        <f>IFERROR(__xludf.DUMMYFUNCTION("""COMPUTED_VALUE"""),"Novotný")</f>
        <v>Novotný</v>
      </c>
      <c r="E54" s="44" t="str">
        <f>IFERROR(__xludf.DUMMYFUNCTION("""COMPUTED_VALUE"""),"Filip")</f>
        <v>Filip</v>
      </c>
      <c r="F54" s="44" t="str">
        <f>IFERROR(__xludf.DUMMYFUNCTION("""COMPUTED_VALUE"""),"SVK")</f>
        <v>SVK</v>
      </c>
      <c r="G54" s="44" t="str">
        <f>IFERROR(__xludf.DUMMYFUNCTION("""COMPUTED_VALUE"""),"CK Slovenská Raj")</f>
        <v>CK Slovenská Raj</v>
      </c>
      <c r="H54" s="44" t="str">
        <f>IFERROR(__xludf.DUMMYFUNCTION("""COMPUTED_VALUE"""),"ŽS")</f>
        <v>ŽS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35">
        <v>41.0</v>
      </c>
      <c r="B55" s="45">
        <v>138.0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)"),"10150092730")</f>
        <v>10150092730</v>
      </c>
      <c r="D55" s="44" t="str">
        <f>IFERROR(__xludf.DUMMYFUNCTION("""COMPUTED_VALUE"""),"Kowolowski")</f>
        <v>Kowolowski</v>
      </c>
      <c r="E55" s="44" t="str">
        <f>IFERROR(__xludf.DUMMYFUNCTION("""COMPUTED_VALUE"""),"Ondřej")</f>
        <v>Ondřej</v>
      </c>
      <c r="F55" s="44" t="str">
        <f>IFERROR(__xludf.DUMMYFUNCTION("""COMPUTED_VALUE"""),"CZE")</f>
        <v>CZE</v>
      </c>
      <c r="G55" s="44" t="str">
        <f>IFERROR(__xludf.DUMMYFUNCTION("""COMPUTED_VALUE"""),"HSF SYSTEM CYCLING TEAM")</f>
        <v>HSF SYSTEM CYCLING TEAM</v>
      </c>
      <c r="H55" s="44" t="str">
        <f>IFERROR(__xludf.DUMMYFUNCTION("""COMPUTED_VALUE"""),"ŽS")</f>
        <v>ŽS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35">
        <v>42.0</v>
      </c>
      <c r="B56" s="45">
        <v>113.0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)"),"10166860794")</f>
        <v>10166860794</v>
      </c>
      <c r="D56" s="44" t="str">
        <f>IFERROR(__xludf.DUMMYFUNCTION("""COMPUTED_VALUE"""),"Koudelka")</f>
        <v>Koudelka</v>
      </c>
      <c r="E56" s="44" t="str">
        <f>IFERROR(__xludf.DUMMYFUNCTION("""COMPUTED_VALUE"""),"Matyáš")</f>
        <v>Matyáš</v>
      </c>
      <c r="F56" s="44" t="str">
        <f>IFERROR(__xludf.DUMMYFUNCTION("""COMPUTED_VALUE"""),"CZE")</f>
        <v>CZE</v>
      </c>
      <c r="G56" s="44" t="str">
        <f>IFERROR(__xludf.DUMMYFUNCTION("""COMPUTED_VALUE"""),"CK Dacom Pharma Kyjov")</f>
        <v>CK Dacom Pharma Kyjov</v>
      </c>
      <c r="H56" s="44" t="str">
        <f>IFERROR(__xludf.DUMMYFUNCTION("""COMPUTED_VALUE"""),"ŽS")</f>
        <v>ŽS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35">
        <v>43.0</v>
      </c>
      <c r="B57" s="45">
        <v>105.0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)"),"10157761487")</f>
        <v>10157761487</v>
      </c>
      <c r="D57" s="44" t="str">
        <f>IFERROR(__xludf.DUMMYFUNCTION("""COMPUTED_VALUE"""),"Lysoněk")</f>
        <v>Lysoněk</v>
      </c>
      <c r="E57" s="44" t="str">
        <f>IFERROR(__xludf.DUMMYFUNCTION("""COMPUTED_VALUE"""),"Dominik")</f>
        <v>Dominik</v>
      </c>
      <c r="F57" s="44" t="str">
        <f>IFERROR(__xludf.DUMMYFUNCTION("""COMPUTED_VALUE"""),"CZE")</f>
        <v>CZE</v>
      </c>
      <c r="G57" s="44" t="str">
        <f>IFERROR(__xludf.DUMMYFUNCTION("""COMPUTED_VALUE"""),"ASPIRE SCM Brno")</f>
        <v>ASPIRE SCM Brno</v>
      </c>
      <c r="H57" s="44" t="str">
        <f>IFERROR(__xludf.DUMMYFUNCTION("""COMPUTED_VALUE"""),"ŽS")</f>
        <v>ŽS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45" t="s">
        <v>90</v>
      </c>
      <c r="B58" s="45">
        <v>162.0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)"),"10137613678")</f>
        <v>10137613678</v>
      </c>
      <c r="D58" s="44" t="str">
        <f>IFERROR(__xludf.DUMMYFUNCTION("""COMPUTED_VALUE"""),"Duroň")</f>
        <v>Duroň</v>
      </c>
      <c r="E58" s="44" t="str">
        <f>IFERROR(__xludf.DUMMYFUNCTION("""COMPUTED_VALUE"""),"Filip")</f>
        <v>Filip</v>
      </c>
      <c r="F58" s="44" t="str">
        <f>IFERROR(__xludf.DUMMYFUNCTION("""COMPUTED_VALUE"""),"CZE")</f>
        <v>CZE</v>
      </c>
      <c r="G58" s="44" t="str">
        <f>IFERROR(__xludf.DUMMYFUNCTION("""COMPUTED_VALUE"""),"Open Cycling Academy")</f>
        <v>Open Cycling Academy</v>
      </c>
      <c r="H58" s="44" t="str">
        <f>IFERROR(__xludf.DUMMYFUNCTION("""COMPUTED_VALUE"""),"ŽS")</f>
        <v>ŽS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45" t="s">
        <v>90</v>
      </c>
      <c r="B59" s="45">
        <v>130.0</v>
      </c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)"),"10140765572")</f>
        <v>10140765572</v>
      </c>
      <c r="D59" s="44" t="str">
        <f>IFERROR(__xludf.DUMMYFUNCTION("""COMPUTED_VALUE"""),"Honel")</f>
        <v>Honel</v>
      </c>
      <c r="E59" s="44" t="str">
        <f>IFERROR(__xludf.DUMMYFUNCTION("""COMPUTED_VALUE"""),"Jakub")</f>
        <v>Jakub</v>
      </c>
      <c r="F59" s="44" t="str">
        <f>IFERROR(__xludf.DUMMYFUNCTION("""COMPUTED_VALUE"""),"CZE")</f>
        <v>CZE</v>
      </c>
      <c r="G59" s="44" t="str">
        <f>IFERROR(__xludf.DUMMYFUNCTION("""COMPUTED_VALUE"""),"DRAHANSKÝ SPORT")</f>
        <v>DRAHANSKÝ SPORT</v>
      </c>
      <c r="H59" s="44" t="str">
        <f>IFERROR(__xludf.DUMMYFUNCTION("""COMPUTED_VALUE"""),"ŽS")</f>
        <v>ŽS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45" t="s">
        <v>90</v>
      </c>
      <c r="B60" s="45">
        <v>178.0</v>
      </c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)"),"10140518931")</f>
        <v>10140518931</v>
      </c>
      <c r="D60" s="44" t="str">
        <f>IFERROR(__xludf.DUMMYFUNCTION("""COMPUTED_VALUE"""),"MORAWITZ")</f>
        <v>MORAWITZ</v>
      </c>
      <c r="E60" s="44" t="str">
        <f>IFERROR(__xludf.DUMMYFUNCTION("""COMPUTED_VALUE"""),"Ivo")</f>
        <v>Ivo</v>
      </c>
      <c r="F60" s="44" t="str">
        <f>IFERROR(__xludf.DUMMYFUNCTION("""COMPUTED_VALUE"""),"CZE")</f>
        <v>CZE</v>
      </c>
      <c r="G60" s="44" t="str">
        <f>IFERROR(__xludf.DUMMYFUNCTION("""COMPUTED_VALUE"""),"TJ FAVORIT BRNO")</f>
        <v>TJ FAVORIT BRNO</v>
      </c>
      <c r="H60" s="44" t="str">
        <f>IFERROR(__xludf.DUMMYFUNCTION("""COMPUTED_VALUE"""),"ŽS")</f>
        <v>ŽS</v>
      </c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45" t="s">
        <v>90</v>
      </c>
      <c r="B61" s="45">
        <v>165.0</v>
      </c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)"),"10168450887")</f>
        <v>10168450887</v>
      </c>
      <c r="D61" s="44" t="str">
        <f>IFERROR(__xludf.DUMMYFUNCTION("""COMPUTED_VALUE"""),"Zykan")</f>
        <v>Zykan</v>
      </c>
      <c r="E61" s="44" t="str">
        <f>IFERROR(__xludf.DUMMYFUNCTION("""COMPUTED_VALUE"""),"Oliver")</f>
        <v>Oliver</v>
      </c>
      <c r="F61" s="44" t="str">
        <f>IFERROR(__xludf.DUMMYFUNCTION("""COMPUTED_VALUE"""),"CZE")</f>
        <v>CZE</v>
      </c>
      <c r="G61" s="44" t="str">
        <f>IFERROR(__xludf.DUMMYFUNCTION("""COMPUTED_VALUE"""),"REXONIX KOVO PRAHA")</f>
        <v>REXONIX KOVO PRAHA</v>
      </c>
      <c r="H61" s="44" t="str">
        <f>IFERROR(__xludf.DUMMYFUNCTION("""COMPUTED_VALUE"""),"ŽS")</f>
        <v>ŽS</v>
      </c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45" t="s">
        <v>90</v>
      </c>
      <c r="B62" s="45">
        <v>117.0</v>
      </c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)"),"10152206118")</f>
        <v>10152206118</v>
      </c>
      <c r="D62" s="44" t="str">
        <f>IFERROR(__xludf.DUMMYFUNCTION("""COMPUTED_VALUE"""),"MONOŠIK")</f>
        <v>MONOŠIK</v>
      </c>
      <c r="E62" s="44" t="str">
        <f>IFERROR(__xludf.DUMMYFUNCTION("""COMPUTED_VALUE"""),"Eliáš")</f>
        <v>Eliáš</v>
      </c>
      <c r="F62" s="44" t="str">
        <f>IFERROR(__xludf.DUMMYFUNCTION("""COMPUTED_VALUE"""),"SVK")</f>
        <v>SVK</v>
      </c>
      <c r="G62" s="44" t="str">
        <f>IFERROR(__xludf.DUMMYFUNCTION("""COMPUTED_VALUE"""),"CK EPIC Dohňany")</f>
        <v>CK EPIC Dohňany</v>
      </c>
      <c r="H62" s="44" t="str">
        <f>IFERROR(__xludf.DUMMYFUNCTION("""COMPUTED_VALUE"""),"ŽS")</f>
        <v>ŽS</v>
      </c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45" t="s">
        <v>90</v>
      </c>
      <c r="B63" s="45">
        <v>102.0</v>
      </c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)"),"10158699155")</f>
        <v>10158699155</v>
      </c>
      <c r="D63" s="44" t="str">
        <f>IFERROR(__xludf.DUMMYFUNCTION("""COMPUTED_VALUE"""),"Hoch")</f>
        <v>Hoch</v>
      </c>
      <c r="E63" s="44" t="str">
        <f>IFERROR(__xludf.DUMMYFUNCTION("""COMPUTED_VALUE"""),"Adam")</f>
        <v>Adam</v>
      </c>
      <c r="F63" s="44" t="str">
        <f>IFERROR(__xludf.DUMMYFUNCTION("""COMPUTED_VALUE"""),"CZE")</f>
        <v>CZE</v>
      </c>
      <c r="G63" s="44" t="str">
        <f>IFERROR(__xludf.DUMMYFUNCTION("""COMPUTED_VALUE"""),"SPORTCOMPLEX Břeclav")</f>
        <v>SPORTCOMPLEX Břeclav</v>
      </c>
      <c r="H63" s="44" t="str">
        <f>IFERROR(__xludf.DUMMYFUNCTION("""COMPUTED_VALUE"""),"ŽS")</f>
        <v>ŽS</v>
      </c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45" t="s">
        <v>90</v>
      </c>
      <c r="B64" s="45">
        <v>101.0</v>
      </c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)"),"10158752406")</f>
        <v>10158752406</v>
      </c>
      <c r="D64" s="44" t="str">
        <f>IFERROR(__xludf.DUMMYFUNCTION("""COMPUTED_VALUE"""),"Král")</f>
        <v>Král</v>
      </c>
      <c r="E64" s="44" t="str">
        <f>IFERROR(__xludf.DUMMYFUNCTION("""COMPUTED_VALUE"""),"Lukáš")</f>
        <v>Lukáš</v>
      </c>
      <c r="F64" s="44" t="str">
        <f>IFERROR(__xludf.DUMMYFUNCTION("""COMPUTED_VALUE"""),"CZE")</f>
        <v>CZE</v>
      </c>
      <c r="G64" s="44" t="str">
        <f>IFERROR(__xludf.DUMMYFUNCTION("""COMPUTED_VALUE"""),"SPORTCOMPLEX Břeclav")</f>
        <v>SPORTCOMPLEX Břeclav</v>
      </c>
      <c r="H64" s="44" t="str">
        <f>IFERROR(__xludf.DUMMYFUNCTION("""COMPUTED_VALUE"""),"ŽS")</f>
        <v>ŽS</v>
      </c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45" t="s">
        <v>90</v>
      </c>
      <c r="B65" s="45">
        <v>103.0</v>
      </c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)"),"10148432616")</f>
        <v>10148432616</v>
      </c>
      <c r="D65" s="44" t="str">
        <f>IFERROR(__xludf.DUMMYFUNCTION("""COMPUTED_VALUE"""),"Krčma")</f>
        <v>Krčma</v>
      </c>
      <c r="E65" s="44" t="str">
        <f>IFERROR(__xludf.DUMMYFUNCTION("""COMPUTED_VALUE"""),"Adam")</f>
        <v>Adam</v>
      </c>
      <c r="F65" s="44" t="str">
        <f>IFERROR(__xludf.DUMMYFUNCTION("""COMPUTED_VALUE"""),"CZE")</f>
        <v>CZE</v>
      </c>
      <c r="G65" s="44" t="str">
        <f>IFERROR(__xludf.DUMMYFUNCTION("""COMPUTED_VALUE"""),"SPORTCOMPLEX Břeclav")</f>
        <v>SPORTCOMPLEX Břeclav</v>
      </c>
      <c r="H65" s="44" t="str">
        <f>IFERROR(__xludf.DUMMYFUNCTION("""COMPUTED_VALUE"""),"ŽS")</f>
        <v>ŽS</v>
      </c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45" t="s">
        <v>90</v>
      </c>
      <c r="B66" s="45">
        <v>137.0</v>
      </c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)"),"10151476089")</f>
        <v>10151476089</v>
      </c>
      <c r="D66" s="44" t="str">
        <f>IFERROR(__xludf.DUMMYFUNCTION("""COMPUTED_VALUE"""),"Jelínek")</f>
        <v>Jelínek</v>
      </c>
      <c r="E66" s="44" t="str">
        <f>IFERROR(__xludf.DUMMYFUNCTION("""COMPUTED_VALUE"""),"Ondřej")</f>
        <v>Ondřej</v>
      </c>
      <c r="F66" s="44" t="str">
        <f>IFERROR(__xludf.DUMMYFUNCTION("""COMPUTED_VALUE"""),"CZE")</f>
        <v>CZE</v>
      </c>
      <c r="G66" s="44" t="str">
        <f>IFERROR(__xludf.DUMMYFUNCTION("""COMPUTED_VALUE"""),"FORCE TEAM ŠUMPERK")</f>
        <v>FORCE TEAM ŠUMPERK</v>
      </c>
      <c r="H66" s="44" t="str">
        <f>IFERROR(__xludf.DUMMYFUNCTION("""COMPUTED_VALUE"""),"ŽS")</f>
        <v>ŽS</v>
      </c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45" t="s">
        <v>90</v>
      </c>
      <c r="B67" s="45">
        <v>171.0</v>
      </c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)"),"10143991430")</f>
        <v>10143991430</v>
      </c>
      <c r="D67" s="44" t="str">
        <f>IFERROR(__xludf.DUMMYFUNCTION("""COMPUTED_VALUE"""),"Herynek")</f>
        <v>Herynek</v>
      </c>
      <c r="E67" s="44" t="str">
        <f>IFERROR(__xludf.DUMMYFUNCTION("""COMPUTED_VALUE"""),"Jan")</f>
        <v>Jan</v>
      </c>
      <c r="F67" s="44" t="str">
        <f>IFERROR(__xludf.DUMMYFUNCTION("""COMPUTED_VALUE"""),"CZE")</f>
        <v>CZE</v>
      </c>
      <c r="G67" s="44" t="str">
        <f>IFERROR(__xludf.DUMMYFUNCTION("""COMPUTED_VALUE"""),"Superior Team Jeseník")</f>
        <v>Superior Team Jeseník</v>
      </c>
      <c r="H67" s="44" t="str">
        <f>IFERROR(__xludf.DUMMYFUNCTION("""COMPUTED_VALUE"""),"ŽS")</f>
        <v>ŽS</v>
      </c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45" t="s">
        <v>90</v>
      </c>
      <c r="B68" s="45">
        <v>174.0</v>
      </c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)"),"10167643565")</f>
        <v>10167643565</v>
      </c>
      <c r="D68" s="44" t="str">
        <f>IFERROR(__xludf.DUMMYFUNCTION("""COMPUTED_VALUE"""),"Květák")</f>
        <v>Květák</v>
      </c>
      <c r="E68" s="44" t="str">
        <f>IFERROR(__xludf.DUMMYFUNCTION("""COMPUTED_VALUE"""),"Vojtěch")</f>
        <v>Vojtěch</v>
      </c>
      <c r="F68" s="44" t="str">
        <f>IFERROR(__xludf.DUMMYFUNCTION("""COMPUTED_VALUE"""),"CZE")</f>
        <v>CZE</v>
      </c>
      <c r="G68" s="44" t="str">
        <f>IFERROR(__xludf.DUMMYFUNCTION("""COMPUTED_VALUE"""),"Superior Team Jeseník")</f>
        <v>Superior Team Jeseník</v>
      </c>
      <c r="H68" s="44" t="str">
        <f>IFERROR(__xludf.DUMMYFUNCTION("""COMPUTED_VALUE"""),"ŽS")</f>
        <v>ŽS</v>
      </c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45" t="s">
        <v>90</v>
      </c>
      <c r="B69" s="45">
        <v>118.0</v>
      </c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 t="str">
        <f>IFERROR(__xludf.DUMMYFUNCTION("""COMPUTED_VALUE"""),"LIESKOVSKÝ")</f>
        <v>LIESKOVSKÝ</v>
      </c>
      <c r="E69" s="44" t="str">
        <f>IFERROR(__xludf.DUMMYFUNCTION("""COMPUTED_VALUE"""),"Tomáš")</f>
        <v>Tomáš</v>
      </c>
      <c r="F69" s="44" t="str">
        <f>IFERROR(__xludf.DUMMYFUNCTION("""COMPUTED_VALUE"""),"SVK")</f>
        <v>SVK</v>
      </c>
      <c r="G69" s="44" t="str">
        <f>IFERROR(__xludf.DUMMYFUNCTION("""COMPUTED_VALUE"""),"CK EPIC Dohňany")</f>
        <v>CK EPIC Dohňany</v>
      </c>
      <c r="H69" s="44" t="str">
        <f>IFERROR(__xludf.DUMMYFUNCTION("""COMPUTED_VALUE"""),"ŽS")</f>
        <v>ŽS</v>
      </c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45" t="s">
        <v>90</v>
      </c>
      <c r="B70" s="45">
        <v>172.0</v>
      </c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)"),"10144160875")</f>
        <v>10144160875</v>
      </c>
      <c r="D70" s="44" t="str">
        <f>IFERROR(__xludf.DUMMYFUNCTION("""COMPUTED_VALUE"""),"Pobořil")</f>
        <v>Pobořil</v>
      </c>
      <c r="E70" s="44" t="str">
        <f>IFERROR(__xludf.DUMMYFUNCTION("""COMPUTED_VALUE"""),"Matěj")</f>
        <v>Matěj</v>
      </c>
      <c r="F70" s="44" t="str">
        <f>IFERROR(__xludf.DUMMYFUNCTION("""COMPUTED_VALUE"""),"CZE")</f>
        <v>CZE</v>
      </c>
      <c r="G70" s="44" t="str">
        <f>IFERROR(__xludf.DUMMYFUNCTION("""COMPUTED_VALUE"""),"Superior Team Jeseník")</f>
        <v>Superior Team Jeseník</v>
      </c>
      <c r="H70" s="44" t="str">
        <f>IFERROR(__xludf.DUMMYFUNCTION("""COMPUTED_VALUE"""),"ŽS")</f>
        <v>ŽS</v>
      </c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45" t="s">
        <v>90</v>
      </c>
      <c r="B71" s="45">
        <v>173.0</v>
      </c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)"),"10143987588")</f>
        <v>10143987588</v>
      </c>
      <c r="D71" s="44" t="str">
        <f>IFERROR(__xludf.DUMMYFUNCTION("""COMPUTED_VALUE"""),"Mudra")</f>
        <v>Mudra</v>
      </c>
      <c r="E71" s="44" t="str">
        <f>IFERROR(__xludf.DUMMYFUNCTION("""COMPUTED_VALUE"""),"Václav")</f>
        <v>Václav</v>
      </c>
      <c r="F71" s="44" t="str">
        <f>IFERROR(__xludf.DUMMYFUNCTION("""COMPUTED_VALUE"""),"CZE")</f>
        <v>CZE</v>
      </c>
      <c r="G71" s="44" t="str">
        <f>IFERROR(__xludf.DUMMYFUNCTION("""COMPUTED_VALUE"""),"Superior Team Jeseník")</f>
        <v>Superior Team Jeseník</v>
      </c>
      <c r="H71" s="44" t="str">
        <f>IFERROR(__xludf.DUMMYFUNCTION("""COMPUTED_VALUE"""),"ŽS")</f>
        <v>ŽS</v>
      </c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45" t="s">
        <v>90</v>
      </c>
      <c r="B72" s="45">
        <v>113.0</v>
      </c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)"),"10166860794")</f>
        <v>10166860794</v>
      </c>
      <c r="D72" s="44" t="str">
        <f>IFERROR(__xludf.DUMMYFUNCTION("""COMPUTED_VALUE"""),"Koudelka")</f>
        <v>Koudelka</v>
      </c>
      <c r="E72" s="44" t="str">
        <f>IFERROR(__xludf.DUMMYFUNCTION("""COMPUTED_VALUE"""),"Matyáš")</f>
        <v>Matyáš</v>
      </c>
      <c r="F72" s="44" t="str">
        <f>IFERROR(__xludf.DUMMYFUNCTION("""COMPUTED_VALUE"""),"CZE")</f>
        <v>CZE</v>
      </c>
      <c r="G72" s="44" t="str">
        <f>IFERROR(__xludf.DUMMYFUNCTION("""COMPUTED_VALUE"""),"CK Dacom Pharma Kyjov")</f>
        <v>CK Dacom Pharma Kyjov</v>
      </c>
      <c r="H72" s="44" t="str">
        <f>IFERROR(__xludf.DUMMYFUNCTION("""COMPUTED_VALUE"""),"ŽS")</f>
        <v>ŽS</v>
      </c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45" t="s">
        <v>39</v>
      </c>
      <c r="B73" s="43"/>
      <c r="C73" s="41">
        <v>1.010681234E10</v>
      </c>
      <c r="D73" s="49" t="s">
        <v>103</v>
      </c>
      <c r="E73" s="49" t="s">
        <v>104</v>
      </c>
      <c r="F73" s="49" t="s">
        <v>42</v>
      </c>
      <c r="G73" s="49" t="s">
        <v>105</v>
      </c>
      <c r="H73" s="49" t="s">
        <v>100</v>
      </c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45" t="s">
        <v>39</v>
      </c>
      <c r="B74" s="43"/>
      <c r="C74" s="41">
        <v>1.0162349789E10</v>
      </c>
      <c r="D74" s="49" t="s">
        <v>106</v>
      </c>
      <c r="E74" s="49" t="s">
        <v>107</v>
      </c>
      <c r="F74" s="49" t="s">
        <v>42</v>
      </c>
      <c r="G74" s="49" t="s">
        <v>93</v>
      </c>
      <c r="H74" s="49" t="s">
        <v>100</v>
      </c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45" t="s">
        <v>39</v>
      </c>
      <c r="B75" s="43"/>
      <c r="C75" s="41">
        <v>1.0170271356E10</v>
      </c>
      <c r="D75" s="49" t="s">
        <v>108</v>
      </c>
      <c r="E75" s="49" t="s">
        <v>109</v>
      </c>
      <c r="F75" s="49" t="s">
        <v>42</v>
      </c>
      <c r="G75" s="49" t="s">
        <v>110</v>
      </c>
      <c r="H75" s="49" t="s">
        <v>100</v>
      </c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45" t="s">
        <v>39</v>
      </c>
      <c r="B76" s="43"/>
      <c r="C76" s="41">
        <v>1.0155262123E10</v>
      </c>
      <c r="D76" s="49" t="s">
        <v>111</v>
      </c>
      <c r="E76" s="49" t="s">
        <v>75</v>
      </c>
      <c r="F76" s="49" t="s">
        <v>49</v>
      </c>
      <c r="G76" s="49" t="s">
        <v>59</v>
      </c>
      <c r="H76" s="49" t="s">
        <v>100</v>
      </c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45" t="s">
        <v>39</v>
      </c>
      <c r="B77" s="43"/>
      <c r="C77" s="37"/>
      <c r="D77" s="49" t="s">
        <v>112</v>
      </c>
      <c r="E77" s="49" t="s">
        <v>113</v>
      </c>
      <c r="F77" s="49" t="s">
        <v>49</v>
      </c>
      <c r="G77" s="49" t="s">
        <v>59</v>
      </c>
      <c r="H77" s="49" t="s">
        <v>100</v>
      </c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45" t="s">
        <v>39</v>
      </c>
      <c r="B78" s="43"/>
      <c r="C78" s="41">
        <v>1.0114762906E10</v>
      </c>
      <c r="D78" s="49" t="s">
        <v>114</v>
      </c>
      <c r="E78" s="49" t="s">
        <v>115</v>
      </c>
      <c r="F78" s="49" t="s">
        <v>49</v>
      </c>
      <c r="G78" s="49" t="s">
        <v>70</v>
      </c>
      <c r="H78" s="49" t="s">
        <v>100</v>
      </c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45" t="s">
        <v>39</v>
      </c>
      <c r="B79" s="43"/>
      <c r="C79" s="41">
        <v>1.0128794156E10</v>
      </c>
      <c r="D79" s="49" t="s">
        <v>116</v>
      </c>
      <c r="E79" s="49" t="s">
        <v>117</v>
      </c>
      <c r="F79" s="49" t="s">
        <v>42</v>
      </c>
      <c r="G79" s="49" t="s">
        <v>73</v>
      </c>
      <c r="H79" s="49" t="s">
        <v>100</v>
      </c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45" t="s">
        <v>39</v>
      </c>
      <c r="B80" s="43"/>
      <c r="C80" s="41">
        <v>1.0140520143E10</v>
      </c>
      <c r="D80" s="49" t="s">
        <v>118</v>
      </c>
      <c r="E80" s="49" t="s">
        <v>119</v>
      </c>
      <c r="F80" s="49" t="s">
        <v>42</v>
      </c>
      <c r="G80" s="49" t="s">
        <v>120</v>
      </c>
      <c r="H80" s="49" t="s">
        <v>100</v>
      </c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46"/>
      <c r="B118" s="47"/>
      <c r="C118" s="47"/>
      <c r="D118" s="47"/>
      <c r="E118" s="47"/>
      <c r="F118" s="47"/>
      <c r="G118" s="47"/>
      <c r="H118" s="47"/>
      <c r="I118" s="47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8"/>
      <c r="B119" s="18"/>
      <c r="C119" s="18"/>
      <c r="D119" s="18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 t="s">
        <v>63</v>
      </c>
      <c r="C122" s="18">
        <v>15.0</v>
      </c>
      <c r="D122" s="18" t="s">
        <v>64</v>
      </c>
      <c r="E122" s="14"/>
      <c r="F122" s="14"/>
      <c r="G122" s="18" t="s">
        <v>65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8" t="s">
        <v>66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8" t="s">
        <v>67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</sheetData>
  <mergeCells count="10">
    <mergeCell ref="A12:B12"/>
    <mergeCell ref="A122:B122"/>
    <mergeCell ref="A124:B124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5.75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101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102</v>
      </c>
      <c r="C9" s="21"/>
      <c r="D9" s="23" t="s">
        <v>18</v>
      </c>
      <c r="E9" s="24">
        <v>16.0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26.0</v>
      </c>
      <c r="D12" s="18" t="s">
        <v>25</v>
      </c>
      <c r="E12" s="26">
        <v>24.0</v>
      </c>
      <c r="F12" s="28"/>
      <c r="G12" s="18" t="s">
        <v>26</v>
      </c>
      <c r="H12" s="26">
        <v>24.0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307.0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)"),"10126079974")</f>
        <v>10126079974</v>
      </c>
      <c r="D15" s="37" t="str">
        <f>IFERROR(__xludf.DUMMYFUNCTION("""COMPUTED_VALUE"""),"Svitálková")</f>
        <v>Svitálková</v>
      </c>
      <c r="E15" s="37" t="str">
        <f>IFERROR(__xludf.DUMMYFUNCTION("""COMPUTED_VALUE"""),"Ema")</f>
        <v>Ema</v>
      </c>
      <c r="F15" s="37" t="str">
        <f>IFERROR(__xludf.DUMMYFUNCTION("""COMPUTED_VALUE"""),"CZE")</f>
        <v>CZE</v>
      </c>
      <c r="G15" s="37" t="str">
        <f>IFERROR(__xludf.DUMMYFUNCTION("""COMPUTED_VALUE"""),"BB Com Devcity")</f>
        <v>BB Com Devcity</v>
      </c>
      <c r="H15" s="37" t="str">
        <f>IFERROR(__xludf.DUMMYFUNCTION("""COMPUTED_VALUE"""),"F*ŽS")</f>
        <v>F*ŽS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317.0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)"),"10140781336")</f>
        <v>10140781336</v>
      </c>
      <c r="D16" s="37" t="str">
        <f>IFERROR(__xludf.DUMMYFUNCTION("""COMPUTED_VALUE"""),"Bursíková")</f>
        <v>Bursíková</v>
      </c>
      <c r="E16" s="37" t="str">
        <f>IFERROR(__xludf.DUMMYFUNCTION("""COMPUTED_VALUE"""),"Anna")</f>
        <v>Anna</v>
      </c>
      <c r="F16" s="37" t="str">
        <f>IFERROR(__xludf.DUMMYFUNCTION("""COMPUTED_VALUE"""),"CZE")</f>
        <v>CZE</v>
      </c>
      <c r="G16" s="37" t="str">
        <f>IFERROR(__xludf.DUMMYFUNCTION("""COMPUTED_VALUE"""),"Expres CZ Elmtrade Team Kolín")</f>
        <v>Expres CZ Elmtrade Team Kolín</v>
      </c>
      <c r="H16" s="37" t="str">
        <f>IFERROR(__xludf.DUMMYFUNCTION("""COMPUTED_VALUE"""),"F*ŽS")</f>
        <v>F*ŽS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326.0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)"),"10117474256")</f>
        <v>10117474256</v>
      </c>
      <c r="D17" s="37" t="str">
        <f>IFERROR(__xludf.DUMMYFUNCTION("""COMPUTED_VALUE"""),"SEKTA")</f>
        <v>SEKTA</v>
      </c>
      <c r="E17" s="37" t="str">
        <f>IFERROR(__xludf.DUMMYFUNCTION("""COMPUTED_VALUE"""),"MARTA")</f>
        <v>MARTA</v>
      </c>
      <c r="F17" s="37" t="str">
        <f>IFERROR(__xludf.DUMMYFUNCTION("""COMPUTED_VALUE"""),"POL")</f>
        <v>POL</v>
      </c>
      <c r="G17" s="37" t="str">
        <f>IFERROR(__xludf.DUMMYFUNCTION("""COMPUTED_VALUE"""),"UKS AVATAR SILESIA TEAM")</f>
        <v>UKS AVATAR SILESIA TEAM</v>
      </c>
      <c r="H17" s="37" t="str">
        <f>IFERROR(__xludf.DUMMYFUNCTION("""COMPUTED_VALUE"""),"F*ŽS")</f>
        <v>F*ŽS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323.0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)"),"10140768202")</f>
        <v>10140768202</v>
      </c>
      <c r="D18" s="37" t="str">
        <f>IFERROR(__xludf.DUMMYFUNCTION("""COMPUTED_VALUE"""),"Kazdová")</f>
        <v>Kazdová</v>
      </c>
      <c r="E18" s="37" t="str">
        <f>IFERROR(__xludf.DUMMYFUNCTION("""COMPUTED_VALUE"""),"Rozárie")</f>
        <v>Rozárie</v>
      </c>
      <c r="F18" s="37" t="str">
        <f>IFERROR(__xludf.DUMMYFUNCTION("""COMPUTED_VALUE"""),"CZE")</f>
        <v>CZE</v>
      </c>
      <c r="G18" s="37" t="str">
        <f>IFERROR(__xludf.DUMMYFUNCTION("""COMPUTED_VALUE"""),"TJ AUTO ŠKODA Mladá Boleslav")</f>
        <v>TJ AUTO ŠKODA Mladá Boleslav</v>
      </c>
      <c r="H18" s="37" t="str">
        <f>IFERROR(__xludf.DUMMYFUNCTION("""COMPUTED_VALUE"""),"F*ŽS")</f>
        <v>F*ŽS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315.0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)"),"10151233488")</f>
        <v>10151233488</v>
      </c>
      <c r="D19" s="37" t="str">
        <f>IFERROR(__xludf.DUMMYFUNCTION("""COMPUTED_VALUE"""),"Michalcová")</f>
        <v>Michalcová</v>
      </c>
      <c r="E19" s="37" t="str">
        <f>IFERROR(__xludf.DUMMYFUNCTION("""COMPUTED_VALUE"""),"Nina")</f>
        <v>Nina</v>
      </c>
      <c r="F19" s="37" t="str">
        <f>IFERROR(__xludf.DUMMYFUNCTION("""COMPUTED_VALUE"""),"SVK")</f>
        <v>SVK</v>
      </c>
      <c r="G19" s="37" t="str">
        <f>IFERROR(__xludf.DUMMYFUNCTION("""COMPUTED_VALUE"""),"CLIMBERG")</f>
        <v>CLIMBERG</v>
      </c>
      <c r="H19" s="37" t="str">
        <f>IFERROR(__xludf.DUMMYFUNCTION("""COMPUTED_VALUE"""),"F*ŽS")</f>
        <v>F*ŽS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318.0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)"),"10106072110")</f>
        <v>10106072110</v>
      </c>
      <c r="D20" s="37" t="str">
        <f>IFERROR(__xludf.DUMMYFUNCTION("""COMPUTED_VALUE"""),"Rusňáková")</f>
        <v>Rusňáková</v>
      </c>
      <c r="E20" s="37" t="str">
        <f>IFERROR(__xludf.DUMMYFUNCTION("""COMPUTED_VALUE"""),"Lucie")</f>
        <v>Lucie</v>
      </c>
      <c r="F20" s="37" t="str">
        <f>IFERROR(__xludf.DUMMYFUNCTION("""COMPUTED_VALUE"""),"CZE")</f>
        <v>CZE</v>
      </c>
      <c r="G20" s="37" t="str">
        <f>IFERROR(__xludf.DUMMYFUNCTION("""COMPUTED_VALUE"""),"FIEGE VELO AKADEMIE")</f>
        <v>FIEGE VELO AKADEMIE</v>
      </c>
      <c r="H20" s="37" t="str">
        <f>IFERROR(__xludf.DUMMYFUNCTION("""COMPUTED_VALUE"""),"F*ŽS")</f>
        <v>F*ŽS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311.0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)"),"10128534478")</f>
        <v>10128534478</v>
      </c>
      <c r="D21" s="37" t="str">
        <f>IFERROR(__xludf.DUMMYFUNCTION("""COMPUTED_VALUE"""),"PESZEKIOVÁ")</f>
        <v>PESZEKIOVÁ</v>
      </c>
      <c r="E21" s="37" t="str">
        <f>IFERROR(__xludf.DUMMYFUNCTION("""COMPUTED_VALUE"""),"Agáta")</f>
        <v>Agáta</v>
      </c>
      <c r="F21" s="37" t="str">
        <f>IFERROR(__xludf.DUMMYFUNCTION("""COMPUTED_VALUE"""),"SVK")</f>
        <v>SVK</v>
      </c>
      <c r="G21" s="37" t="str">
        <f>IFERROR(__xludf.DUMMYFUNCTION("""COMPUTED_VALUE"""),"CK EPIC Dohňany")</f>
        <v>CK EPIC Dohňany</v>
      </c>
      <c r="H21" s="37" t="str">
        <f>IFERROR(__xludf.DUMMYFUNCTION("""COMPUTED_VALUE"""),"F*ŽS")</f>
        <v>F*ŽS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324.0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)"),"10140250361")</f>
        <v>10140250361</v>
      </c>
      <c r="D22" s="37" t="str">
        <f>IFERROR(__xludf.DUMMYFUNCTION("""COMPUTED_VALUE"""),"HÁJKOVÁ")</f>
        <v>HÁJKOVÁ</v>
      </c>
      <c r="E22" s="37" t="str">
        <f>IFERROR(__xludf.DUMMYFUNCTION("""COMPUTED_VALUE"""),"Emma")</f>
        <v>Emma</v>
      </c>
      <c r="F22" s="37" t="str">
        <f>IFERROR(__xludf.DUMMYFUNCTION("""COMPUTED_VALUE"""),"CZE")</f>
        <v>CZE</v>
      </c>
      <c r="G22" s="37" t="str">
        <f>IFERROR(__xludf.DUMMYFUNCTION("""COMPUTED_VALUE"""),"TJ FAVORIT BRNO")</f>
        <v>TJ FAVORIT BRNO</v>
      </c>
      <c r="H22" s="37" t="str">
        <f>IFERROR(__xludf.DUMMYFUNCTION("""COMPUTED_VALUE"""),"F*ŽS")</f>
        <v>F*ŽS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303.0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)"),"10158753214")</f>
        <v>10158753214</v>
      </c>
      <c r="D23" s="37" t="str">
        <f>IFERROR(__xludf.DUMMYFUNCTION("""COMPUTED_VALUE"""),"Steinbauerová")</f>
        <v>Steinbauerová</v>
      </c>
      <c r="E23" s="37" t="str">
        <f>IFERROR(__xludf.DUMMYFUNCTION("""COMPUTED_VALUE"""),"Barbora")</f>
        <v>Barbora</v>
      </c>
      <c r="F23" s="37" t="str">
        <f>IFERROR(__xludf.DUMMYFUNCTION("""COMPUTED_VALUE"""),"CZE")</f>
        <v>CZE</v>
      </c>
      <c r="G23" s="37" t="str">
        <f>IFERROR(__xludf.DUMMYFUNCTION("""COMPUTED_VALUE"""),"SPORTCOMPLEX Břeclav")</f>
        <v>SPORTCOMPLEX Břeclav</v>
      </c>
      <c r="H23" s="37" t="str">
        <f>IFERROR(__xludf.DUMMYFUNCTION("""COMPUTED_VALUE"""),"F*ŽS")</f>
        <v>F*ŽS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322.0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)"),"10144984668")</f>
        <v>10144984668</v>
      </c>
      <c r="D24" s="37" t="str">
        <f>IFERROR(__xludf.DUMMYFUNCTION("""COMPUTED_VALUE"""),"Lhotáková")</f>
        <v>Lhotáková</v>
      </c>
      <c r="E24" s="37" t="str">
        <f>IFERROR(__xludf.DUMMYFUNCTION("""COMPUTED_VALUE"""),"Sofie")</f>
        <v>Sofie</v>
      </c>
      <c r="F24" s="37" t="str">
        <f>IFERROR(__xludf.DUMMYFUNCTION("""COMPUTED_VALUE"""),"CZE")</f>
        <v>CZE</v>
      </c>
      <c r="G24" s="37" t="str">
        <f>IFERROR(__xludf.DUMMYFUNCTION("""COMPUTED_VALUE"""),"TJ AUTO ŠKODA Mladá Boleslav")</f>
        <v>TJ AUTO ŠKODA Mladá Boleslav</v>
      </c>
      <c r="H24" s="37" t="str">
        <f>IFERROR(__xludf.DUMMYFUNCTION("""COMPUTED_VALUE"""),"F*ŽS")</f>
        <v>F*ŽS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309.0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)"),"10131719314")</f>
        <v>10131719314</v>
      </c>
      <c r="D25" s="37" t="str">
        <f>IFERROR(__xludf.DUMMYFUNCTION("""COMPUTED_VALUE"""),"Smolíková")</f>
        <v>Smolíková</v>
      </c>
      <c r="E25" s="37" t="str">
        <f>IFERROR(__xludf.DUMMYFUNCTION("""COMPUTED_VALUE"""),"Klára")</f>
        <v>Klára</v>
      </c>
      <c r="F25" s="37" t="str">
        <f>IFERROR(__xludf.DUMMYFUNCTION("""COMPUTED_VALUE"""),"CZE")</f>
        <v>CZE</v>
      </c>
      <c r="G25" s="37" t="str">
        <f>IFERROR(__xludf.DUMMYFUNCTION("""COMPUTED_VALUE"""),"BIKE PRO RACING")</f>
        <v>BIKE PRO RACING</v>
      </c>
      <c r="H25" s="37" t="str">
        <f>IFERROR(__xludf.DUMMYFUNCTION("""COMPUTED_VALUE"""),"F*ŽS")</f>
        <v>F*ŽS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312.0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)"),"10151761534")</f>
        <v>10151761534</v>
      </c>
      <c r="D26" s="37" t="str">
        <f>IFERROR(__xludf.DUMMYFUNCTION("""COMPUTED_VALUE"""),"VALACHOVÁ")</f>
        <v>VALACHOVÁ</v>
      </c>
      <c r="E26" s="37" t="str">
        <f>IFERROR(__xludf.DUMMYFUNCTION("""COMPUTED_VALUE"""),"Lívia")</f>
        <v>Lívia</v>
      </c>
      <c r="F26" s="37" t="str">
        <f>IFERROR(__xludf.DUMMYFUNCTION("""COMPUTED_VALUE"""),"SVK")</f>
        <v>SVK</v>
      </c>
      <c r="G26" s="37" t="str">
        <f>IFERROR(__xludf.DUMMYFUNCTION("""COMPUTED_VALUE"""),"CK EPIC Dohňany")</f>
        <v>CK EPIC Dohňany</v>
      </c>
      <c r="H26" s="37" t="str">
        <f>IFERROR(__xludf.DUMMYFUNCTION("""COMPUTED_VALUE"""),"F*ŽS")</f>
        <v>F*ŽS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313.0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)"),"10161132441")</f>
        <v>10161132441</v>
      </c>
      <c r="D27" s="37" t="str">
        <f>IFERROR(__xludf.DUMMYFUNCTION("""COMPUTED_VALUE"""),"KOVÁČOVÁ")</f>
        <v>KOVÁČOVÁ</v>
      </c>
      <c r="E27" s="37" t="str">
        <f>IFERROR(__xludf.DUMMYFUNCTION("""COMPUTED_VALUE"""),"Hana")</f>
        <v>Hana</v>
      </c>
      <c r="F27" s="37" t="str">
        <f>IFERROR(__xludf.DUMMYFUNCTION("""COMPUTED_VALUE"""),"SVK")</f>
        <v>SVK</v>
      </c>
      <c r="G27" s="37" t="str">
        <f>IFERROR(__xludf.DUMMYFUNCTION("""COMPUTED_VALUE"""),"CK EPIC Dohňany")</f>
        <v>CK EPIC Dohňany</v>
      </c>
      <c r="H27" s="37" t="str">
        <f>IFERROR(__xludf.DUMMYFUNCTION("""COMPUTED_VALUE"""),"F*ŽS")</f>
        <v>F*ŽS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305.0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)"),"10150940973")</f>
        <v>10150940973</v>
      </c>
      <c r="D28" s="37" t="str">
        <f>IFERROR(__xludf.DUMMYFUNCTION("""COMPUTED_VALUE"""),"Vajsejtlová")</f>
        <v>Vajsejtlová</v>
      </c>
      <c r="E28" s="37" t="str">
        <f>IFERROR(__xludf.DUMMYFUNCTION("""COMPUTED_VALUE"""),"Tereza")</f>
        <v>Tereza</v>
      </c>
      <c r="F28" s="37" t="str">
        <f>IFERROR(__xludf.DUMMYFUNCTION("""COMPUTED_VALUE"""),"CZE")</f>
        <v>CZE</v>
      </c>
      <c r="G28" s="37" t="str">
        <f>IFERROR(__xludf.DUMMYFUNCTION("""COMPUTED_VALUE"""),"BIKE puzzle team")</f>
        <v>BIKE puzzle team</v>
      </c>
      <c r="H28" s="37" t="str">
        <f>IFERROR(__xludf.DUMMYFUNCTION("""COMPUTED_VALUE"""),"F*ŽS")</f>
        <v>F*ŽS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314.0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)"),"10116058056")</f>
        <v>10116058056</v>
      </c>
      <c r="D29" s="37" t="str">
        <f>IFERROR(__xludf.DUMMYFUNCTION("""COMPUTED_VALUE"""),"Alaine")</f>
        <v>Alaine</v>
      </c>
      <c r="E29" s="37" t="str">
        <f>IFERROR(__xludf.DUMMYFUNCTION("""COMPUTED_VALUE"""),"Leila")</f>
        <v>Leila</v>
      </c>
      <c r="F29" s="37" t="str">
        <f>IFERROR(__xludf.DUMMYFUNCTION("""COMPUTED_VALUE"""),"SVK")</f>
        <v>SVK</v>
      </c>
      <c r="G29" s="37" t="str">
        <f>IFERROR(__xludf.DUMMYFUNCTION("""COMPUTED_VALUE"""),"CK Olympik Trnava")</f>
        <v>CK Olympik Trnava</v>
      </c>
      <c r="H29" s="37" t="str">
        <f>IFERROR(__xludf.DUMMYFUNCTION("""COMPUTED_VALUE"""),"F*ŽS")</f>
        <v>F*ŽS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301.0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)"),"10123995383")</f>
        <v>10123995383</v>
      </c>
      <c r="D30" s="37" t="str">
        <f>IFERROR(__xludf.DUMMYFUNCTION("""COMPUTED_VALUE"""),"Jadrná")</f>
        <v>Jadrná</v>
      </c>
      <c r="E30" s="37" t="str">
        <f>IFERROR(__xludf.DUMMYFUNCTION("""COMPUTED_VALUE"""),"Adéla")</f>
        <v>Adéla</v>
      </c>
      <c r="F30" s="37" t="str">
        <f>IFERROR(__xludf.DUMMYFUNCTION("""COMPUTED_VALUE"""),"CZE")</f>
        <v>CZE</v>
      </c>
      <c r="G30" s="37" t="str">
        <f>IFERROR(__xludf.DUMMYFUNCTION("""COMPUTED_VALUE"""),"SPORTCOMPLEX Břeclav")</f>
        <v>SPORTCOMPLEX Břeclav</v>
      </c>
      <c r="H30" s="37" t="str">
        <f>IFERROR(__xludf.DUMMYFUNCTION("""COMPUTED_VALUE"""),"F*ŽS")</f>
        <v>F*ŽS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306.0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)"),"10114851721")</f>
        <v>10114851721</v>
      </c>
      <c r="D31" s="37" t="str">
        <f>IFERROR(__xludf.DUMMYFUNCTION("""COMPUTED_VALUE"""),"Wafler")</f>
        <v>Wafler</v>
      </c>
      <c r="E31" s="37" t="str">
        <f>IFERROR(__xludf.DUMMYFUNCTION("""COMPUTED_VALUE"""),"Ilvie")</f>
        <v>Ilvie</v>
      </c>
      <c r="F31" s="37" t="str">
        <f>IFERROR(__xludf.DUMMYFUNCTION("""COMPUTED_VALUE"""),"AUT")</f>
        <v>AUT</v>
      </c>
      <c r="G31" s="37" t="str">
        <f>IFERROR(__xludf.DUMMYFUNCTION("""COMPUTED_VALUE"""),"ARBÖ ASKÖ RLM Wien")</f>
        <v>ARBÖ ASKÖ RLM Wien</v>
      </c>
      <c r="H31" s="37" t="str">
        <f>IFERROR(__xludf.DUMMYFUNCTION("""COMPUTED_VALUE"""),"F*ŽS")</f>
        <v>F*ŽS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319.0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 t="str">
        <f>IFERROR(__xludf.DUMMYFUNCTION("""COMPUTED_VALUE"""),"Gebetsroither")</f>
        <v>Gebetsroither</v>
      </c>
      <c r="E32" s="37" t="str">
        <f>IFERROR(__xludf.DUMMYFUNCTION("""COMPUTED_VALUE"""),"Magdalena")</f>
        <v>Magdalena</v>
      </c>
      <c r="F32" s="37" t="str">
        <f>IFERROR(__xludf.DUMMYFUNCTION("""COMPUTED_VALUE"""),"AUT")</f>
        <v>AUT</v>
      </c>
      <c r="G32" s="37" t="str">
        <f>IFERROR(__xludf.DUMMYFUNCTION("""COMPUTED_VALUE"""),"Radsportverein Atterbiker")</f>
        <v>Radsportverein Atterbiker</v>
      </c>
      <c r="H32" s="37" t="str">
        <f>IFERROR(__xludf.DUMMYFUNCTION("""COMPUTED_VALUE"""),"F*ŽS")</f>
        <v>F*ŽS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302.0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)"),"10123999932")</f>
        <v>10123999932</v>
      </c>
      <c r="D33" s="37" t="str">
        <f>IFERROR(__xludf.DUMMYFUNCTION("""COMPUTED_VALUE"""),"Třetinová")</f>
        <v>Třetinová</v>
      </c>
      <c r="E33" s="37" t="str">
        <f>IFERROR(__xludf.DUMMYFUNCTION("""COMPUTED_VALUE"""),"Nikol")</f>
        <v>Nikol</v>
      </c>
      <c r="F33" s="37" t="str">
        <f>IFERROR(__xludf.DUMMYFUNCTION("""COMPUTED_VALUE"""),"CZE")</f>
        <v>CZE</v>
      </c>
      <c r="G33" s="37" t="str">
        <f>IFERROR(__xludf.DUMMYFUNCTION("""COMPUTED_VALUE"""),"SPORTCOMPLEX Břeclav")</f>
        <v>SPORTCOMPLEX Břeclav</v>
      </c>
      <c r="H33" s="37" t="str">
        <f>IFERROR(__xludf.DUMMYFUNCTION("""COMPUTED_VALUE"""),"F*ŽS")</f>
        <v>F*ŽS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320.0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 t="str">
        <f>IFERROR(__xludf.DUMMYFUNCTION("""COMPUTED_VALUE"""),"HEINRICH")</f>
        <v>HEINRICH</v>
      </c>
      <c r="E34" s="37" t="str">
        <f>IFERROR(__xludf.DUMMYFUNCTION("""COMPUTED_VALUE"""),"Viktoria")</f>
        <v>Viktoria</v>
      </c>
      <c r="F34" s="37" t="str">
        <f>IFERROR(__xludf.DUMMYFUNCTION("""COMPUTED_VALUE"""),"AUT")</f>
        <v>AUT</v>
      </c>
      <c r="G34" s="37" t="str">
        <f>IFERROR(__xludf.DUMMYFUNCTION("""COMPUTED_VALUE"""),"RCO BOA WELS")</f>
        <v>RCO BOA WELS</v>
      </c>
      <c r="H34" s="37" t="str">
        <f>IFERROR(__xludf.DUMMYFUNCTION("""COMPUTED_VALUE"""),"F*ŽS")</f>
        <v>F*ŽS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321.0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)"),"10163403756")</f>
        <v>10163403756</v>
      </c>
      <c r="D35" s="37" t="str">
        <f>IFERROR(__xludf.DUMMYFUNCTION("""COMPUTED_VALUE"""),"Weiss")</f>
        <v>Weiss</v>
      </c>
      <c r="E35" s="37" t="str">
        <f>IFERROR(__xludf.DUMMYFUNCTION("""COMPUTED_VALUE"""),"Ema")</f>
        <v>Ema</v>
      </c>
      <c r="F35" s="37" t="str">
        <f>IFERROR(__xludf.DUMMYFUNCTION("""COMPUTED_VALUE"""),"GER")</f>
        <v>GER</v>
      </c>
      <c r="G35" s="37" t="str">
        <f>IFERROR(__xludf.DUMMYFUNCTION("""COMPUTED_VALUE"""),"REXONIX KOVO PRAHA")</f>
        <v>REXONIX KOVO PRAHA</v>
      </c>
      <c r="H35" s="37" t="str">
        <f>IFERROR(__xludf.DUMMYFUNCTION("""COMPUTED_VALUE"""),"F*ŽS")</f>
        <v>F*ŽS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310.0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)"),"10144192605")</f>
        <v>10144192605</v>
      </c>
      <c r="D36" s="37" t="str">
        <f>IFERROR(__xludf.DUMMYFUNCTION("""COMPUTED_VALUE"""),"Barošová")</f>
        <v>Barošová</v>
      </c>
      <c r="E36" s="37" t="str">
        <f>IFERROR(__xludf.DUMMYFUNCTION("""COMPUTED_VALUE"""),"Tereza")</f>
        <v>Tereza</v>
      </c>
      <c r="F36" s="37" t="str">
        <f>IFERROR(__xludf.DUMMYFUNCTION("""COMPUTED_VALUE"""),"CZE")</f>
        <v>CZE</v>
      </c>
      <c r="G36" s="37" t="str">
        <f>IFERROR(__xludf.DUMMYFUNCTION("""COMPUTED_VALUE"""),"BIKE PRO RACING")</f>
        <v>BIKE PRO RACING</v>
      </c>
      <c r="H36" s="37" t="str">
        <f>IFERROR(__xludf.DUMMYFUNCTION("""COMPUTED_VALUE"""),"F*ŽS")</f>
        <v>F*ŽS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325.0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)"),"10173346862")</f>
        <v>10173346862</v>
      </c>
      <c r="D37" s="37" t="str">
        <f>IFERROR(__xludf.DUMMYFUNCTION("""COMPUTED_VALUE"""),"Rohlová")</f>
        <v>Rohlová</v>
      </c>
      <c r="E37" s="37" t="str">
        <f>IFERROR(__xludf.DUMMYFUNCTION("""COMPUTED_VALUE"""),"Veronika")</f>
        <v>Veronika</v>
      </c>
      <c r="F37" s="37" t="str">
        <f>IFERROR(__xludf.DUMMYFUNCTION("""COMPUTED_VALUE"""),"CZE")</f>
        <v>CZE</v>
      </c>
      <c r="G37" s="37" t="str">
        <f>IFERROR(__xludf.DUMMYFUNCTION("""COMPUTED_VALUE"""),"TJ Favorit Brno")</f>
        <v>TJ Favorit Brno</v>
      </c>
      <c r="H37" s="37" t="str">
        <f>IFERROR(__xludf.DUMMYFUNCTION("""COMPUTED_VALUE"""),"F*ŽS")</f>
        <v>F*ŽS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304.0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)"),"10158756749")</f>
        <v>10158756749</v>
      </c>
      <c r="D38" s="37" t="str">
        <f>IFERROR(__xludf.DUMMYFUNCTION("""COMPUTED_VALUE"""),"Kouřílková")</f>
        <v>Kouřílková</v>
      </c>
      <c r="E38" s="37" t="str">
        <f>IFERROR(__xludf.DUMMYFUNCTION("""COMPUTED_VALUE"""),"Anna")</f>
        <v>Anna</v>
      </c>
      <c r="F38" s="37" t="str">
        <f>IFERROR(__xludf.DUMMYFUNCTION("""COMPUTED_VALUE"""),"CZE")</f>
        <v>CZE</v>
      </c>
      <c r="G38" s="37" t="str">
        <f>IFERROR(__xludf.DUMMYFUNCTION("""COMPUTED_VALUE"""),"SPORTCOMPLEX Břeclav")</f>
        <v>SPORTCOMPLEX Břeclav</v>
      </c>
      <c r="H38" s="37" t="str">
        <f>IFERROR(__xludf.DUMMYFUNCTION("""COMPUTED_VALUE"""),"F*ŽS")</f>
        <v>F*ŽS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 t="s">
        <v>39</v>
      </c>
      <c r="B39" s="38"/>
      <c r="C39" s="41">
        <v>1.015315025E10</v>
      </c>
      <c r="D39" s="41" t="s">
        <v>121</v>
      </c>
      <c r="E39" s="41" t="s">
        <v>122</v>
      </c>
      <c r="F39" s="41" t="s">
        <v>42</v>
      </c>
      <c r="G39" s="41" t="s">
        <v>93</v>
      </c>
      <c r="H39" s="41" t="s">
        <v>102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 t="s">
        <v>39</v>
      </c>
      <c r="B40" s="38"/>
      <c r="C40" s="41">
        <v>1.0150473656E10</v>
      </c>
      <c r="D40" s="41" t="s">
        <v>123</v>
      </c>
      <c r="E40" s="41" t="s">
        <v>124</v>
      </c>
      <c r="F40" s="41" t="s">
        <v>49</v>
      </c>
      <c r="G40" s="41" t="s">
        <v>125</v>
      </c>
      <c r="H40" s="41" t="s">
        <v>102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38"/>
      <c r="B52" s="38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37"/>
      <c r="E52" s="37"/>
      <c r="F52" s="37"/>
      <c r="G52" s="37"/>
      <c r="H52" s="37"/>
      <c r="I52" s="38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idden="1">
      <c r="A119" s="43"/>
      <c r="B119" s="43"/>
      <c r="C119" s="37" t="str">
        <f>IFERROR(__xludf.DUMMYFUNCTION("IFERROR(
QUERY(
IMPORTRANGE(""1TegarCDw2dx-vCuwksNSPnqrAOJXGYg_ek3_j9ooJnQ"",""List1!B:H""),
""select Col2,Col3,Col4,Col5,Col6,Col7 where Col1='""&amp;B119&amp;""' and Col7='""&amp;$B$9&amp;""'"",
0
),
""""
)"),"")</f>
        <v/>
      </c>
      <c r="D119" s="44"/>
      <c r="E119" s="44"/>
      <c r="F119" s="44"/>
      <c r="G119" s="44"/>
      <c r="H119" s="44"/>
      <c r="I119" s="4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46"/>
      <c r="B120" s="47"/>
      <c r="C120" s="47"/>
      <c r="D120" s="47"/>
      <c r="E120" s="47"/>
      <c r="F120" s="47"/>
      <c r="G120" s="47"/>
      <c r="H120" s="47"/>
      <c r="I120" s="47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/>
      <c r="B123" s="18"/>
      <c r="C123" s="18"/>
      <c r="D123" s="18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8" t="s">
        <v>63</v>
      </c>
      <c r="C124" s="18">
        <v>0.0</v>
      </c>
      <c r="D124" s="18" t="s">
        <v>64</v>
      </c>
      <c r="E124" s="14"/>
      <c r="F124" s="14"/>
      <c r="G124" s="18" t="s">
        <v>65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8" t="s">
        <v>66</v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8" t="s">
        <v>67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  <row r="1094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</row>
  </sheetData>
  <mergeCells count="10">
    <mergeCell ref="A12:B12"/>
    <mergeCell ref="A124:B124"/>
    <mergeCell ref="A126:B126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126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128</v>
      </c>
      <c r="C9" s="21"/>
      <c r="D9" s="23" t="s">
        <v>18</v>
      </c>
      <c r="E9" s="24">
        <v>16.0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45.0</v>
      </c>
      <c r="D12" s="18" t="s">
        <v>25</v>
      </c>
      <c r="E12" s="26">
        <v>44.0</v>
      </c>
      <c r="F12" s="28"/>
      <c r="G12" s="18" t="s">
        <v>26</v>
      </c>
      <c r="H12" s="26">
        <v>40.0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228.0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)"),"10109299378")</f>
        <v>10109299378</v>
      </c>
      <c r="D15" s="37" t="str">
        <f>IFERROR(__xludf.DUMMYFUNCTION("""COMPUTED_VALUE"""),"Hlůže")</f>
        <v>Hlůže</v>
      </c>
      <c r="E15" s="37" t="str">
        <f>IFERROR(__xludf.DUMMYFUNCTION("""COMPUTED_VALUE"""),"Kryštof")</f>
        <v>Kryštof</v>
      </c>
      <c r="F15" s="37" t="str">
        <f>IFERROR(__xludf.DUMMYFUNCTION("""COMPUTED_VALUE"""),"CZE")</f>
        <v>CZE</v>
      </c>
      <c r="G15" s="37" t="str">
        <f>IFERROR(__xludf.DUMMYFUNCTION("""COMPUTED_VALUE"""),"DUKLA PRAHA")</f>
        <v>DUKLA PRAHA</v>
      </c>
      <c r="H15" s="37" t="str">
        <f>IFERROR(__xludf.DUMMYFUNCTION("""COMPUTED_VALUE"""),"ŽM")</f>
        <v>ŽM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205.0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)"),"10145847968")</f>
        <v>10145847968</v>
      </c>
      <c r="D16" s="37" t="str">
        <f>IFERROR(__xludf.DUMMYFUNCTION("""COMPUTED_VALUE"""),"Zelinka")</f>
        <v>Zelinka</v>
      </c>
      <c r="E16" s="37" t="str">
        <f>IFERROR(__xludf.DUMMYFUNCTION("""COMPUTED_VALUE"""),"Adam")</f>
        <v>Adam</v>
      </c>
      <c r="F16" s="37" t="str">
        <f>IFERROR(__xludf.DUMMYFUNCTION("""COMPUTED_VALUE"""),"CZE")</f>
        <v>CZE</v>
      </c>
      <c r="G16" s="37" t="str">
        <f>IFERROR(__xludf.DUMMYFUNCTION("""COMPUTED_VALUE"""),"Cycling Academy Tábor")</f>
        <v>Cycling Academy Tábor</v>
      </c>
      <c r="H16" s="37" t="str">
        <f>IFERROR(__xludf.DUMMYFUNCTION("""COMPUTED_VALUE"""),"ŽM")</f>
        <v>ŽM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237.0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IFERROR(__xludf.DUMMYFUNCTION("""COMPUTED_VALUE"""),"Gebetsroither")</f>
        <v>Gebetsroither</v>
      </c>
      <c r="E17" s="37" t="str">
        <f>IFERROR(__xludf.DUMMYFUNCTION("""COMPUTED_VALUE"""),"Johannes")</f>
        <v>Johannes</v>
      </c>
      <c r="F17" s="37" t="str">
        <f>IFERROR(__xludf.DUMMYFUNCTION("""COMPUTED_VALUE"""),"AUT")</f>
        <v>AUT</v>
      </c>
      <c r="G17" s="37" t="str">
        <f>IFERROR(__xludf.DUMMYFUNCTION("""COMPUTED_VALUE"""),"Radsportverein Atterbiker")</f>
        <v>Radsportverein Atterbiker</v>
      </c>
      <c r="H17" s="37" t="str">
        <f>IFERROR(__xludf.DUMMYFUNCTION("""COMPUTED_VALUE"""),"ŽM")</f>
        <v>ŽM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212.0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)"),"10127979255")</f>
        <v>10127979255</v>
      </c>
      <c r="D18" s="37" t="str">
        <f>IFERROR(__xludf.DUMMYFUNCTION("""COMPUTED_VALUE"""),"Tóbl")</f>
        <v>Tóbl</v>
      </c>
      <c r="E18" s="37" t="str">
        <f>IFERROR(__xludf.DUMMYFUNCTION("""COMPUTED_VALUE"""),"Tomáš")</f>
        <v>Tomáš</v>
      </c>
      <c r="F18" s="37" t="str">
        <f>IFERROR(__xludf.DUMMYFUNCTION("""COMPUTED_VALUE"""),"SVK")</f>
        <v>SVK</v>
      </c>
      <c r="G18" s="37" t="str">
        <f>IFERROR(__xludf.DUMMYFUNCTION("""COMPUTED_VALUE"""),"CK Olympik Trnava")</f>
        <v>CK Olympik Trnava</v>
      </c>
      <c r="H18" s="37" t="str">
        <f>IFERROR(__xludf.DUMMYFUNCTION("""COMPUTED_VALUE"""),"ŽM")</f>
        <v>ŽM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234.0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)"),"10153011117")</f>
        <v>10153011117</v>
      </c>
      <c r="D19" s="37" t="str">
        <f>IFERROR(__xludf.DUMMYFUNCTION("""COMPUTED_VALUE"""),"Byrtus")</f>
        <v>Byrtus</v>
      </c>
      <c r="E19" s="41" t="str">
        <f>IFERROR(__xludf.DUMMYFUNCTION("""COMPUTED_VALUE"""),"Viktor")</f>
        <v>Viktor</v>
      </c>
      <c r="F19" s="37" t="str">
        <f>IFERROR(__xludf.DUMMYFUNCTION("""COMPUTED_VALUE"""),"CZE")</f>
        <v>CZE</v>
      </c>
      <c r="G19" s="37" t="str">
        <f>IFERROR(__xludf.DUMMYFUNCTION("""COMPUTED_VALUE"""),"HSF SYSTEM CYCLING TEAM")</f>
        <v>HSF SYSTEM CYCLING TEAM</v>
      </c>
      <c r="H19" s="37" t="str">
        <f>IFERROR(__xludf.DUMMYFUNCTION("""COMPUTED_VALUE"""),"ŽM")</f>
        <v>ŽM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230.0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)"),"10141269063")</f>
        <v>10141269063</v>
      </c>
      <c r="D20" s="37" t="str">
        <f>IFERROR(__xludf.DUMMYFUNCTION("""COMPUTED_VALUE"""),"Vaněk")</f>
        <v>Vaněk</v>
      </c>
      <c r="E20" s="37" t="str">
        <f>IFERROR(__xludf.DUMMYFUNCTION("""COMPUTED_VALUE"""),"Jakub")</f>
        <v>Jakub</v>
      </c>
      <c r="F20" s="37" t="str">
        <f>IFERROR(__xludf.DUMMYFUNCTION("""COMPUTED_VALUE"""),"CZE")</f>
        <v>CZE</v>
      </c>
      <c r="G20" s="37" t="str">
        <f>IFERROR(__xludf.DUMMYFUNCTION("""COMPUTED_VALUE"""),"Expres CZ Elmtrade Team Kolín")</f>
        <v>Expres CZ Elmtrade Team Kolín</v>
      </c>
      <c r="H20" s="37" t="str">
        <f>IFERROR(__xludf.DUMMYFUNCTION("""COMPUTED_VALUE"""),"ŽM")</f>
        <v>ŽM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227.0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)"),"10162207222")</f>
        <v>10162207222</v>
      </c>
      <c r="D21" s="37" t="str">
        <f>IFERROR(__xludf.DUMMYFUNCTION("""COMPUTED_VALUE"""),"Kučera")</f>
        <v>Kučera</v>
      </c>
      <c r="E21" s="37" t="str">
        <f>IFERROR(__xludf.DUMMYFUNCTION("""COMPUTED_VALUE"""),"Patrik")</f>
        <v>Patrik</v>
      </c>
      <c r="F21" s="37" t="str">
        <f>IFERROR(__xludf.DUMMYFUNCTION("""COMPUTED_VALUE"""),"CZE")</f>
        <v>CZE</v>
      </c>
      <c r="G21" s="37" t="str">
        <f>IFERROR(__xludf.DUMMYFUNCTION("""COMPUTED_VALUE"""),"DUKLA PRAHA")</f>
        <v>DUKLA PRAHA</v>
      </c>
      <c r="H21" s="37" t="str">
        <f>IFERROR(__xludf.DUMMYFUNCTION("""COMPUTED_VALUE"""),"ŽM")</f>
        <v>ŽM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220.0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)"),"10142359002")</f>
        <v>10142359002</v>
      </c>
      <c r="D22" s="37" t="str">
        <f>IFERROR(__xludf.DUMMYFUNCTION("""COMPUTED_VALUE"""),"Beňo")</f>
        <v>Beňo</v>
      </c>
      <c r="E22" s="37" t="str">
        <f>IFERROR(__xludf.DUMMYFUNCTION("""COMPUTED_VALUE"""),"Miško")</f>
        <v>Miško</v>
      </c>
      <c r="F22" s="37" t="str">
        <f>IFERROR(__xludf.DUMMYFUNCTION("""COMPUTED_VALUE"""),"SVK")</f>
        <v>SVK</v>
      </c>
      <c r="G22" s="37" t="str">
        <f>IFERROR(__xludf.DUMMYFUNCTION("""COMPUTED_VALUE"""),"Cyklistická tour")</f>
        <v>Cyklistická tour</v>
      </c>
      <c r="H22" s="37" t="str">
        <f>IFERROR(__xludf.DUMMYFUNCTION("""COMPUTED_VALUE"""),"ŽM")</f>
        <v>ŽM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236.0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)"),"10157813223")</f>
        <v>10157813223</v>
      </c>
      <c r="D23" s="37" t="str">
        <f>IFERROR(__xludf.DUMMYFUNCTION("""COMPUTED_VALUE"""),"Pšurný")</f>
        <v>Pšurný</v>
      </c>
      <c r="E23" s="37" t="str">
        <f>IFERROR(__xludf.DUMMYFUNCTION("""COMPUTED_VALUE"""),"Jakub")</f>
        <v>Jakub</v>
      </c>
      <c r="F23" s="37" t="str">
        <f>IFERROR(__xludf.DUMMYFUNCTION("""COMPUTED_VALUE"""),"CZE")</f>
        <v>CZE</v>
      </c>
      <c r="G23" s="37" t="str">
        <f>IFERROR(__xludf.DUMMYFUNCTION("""COMPUTED_VALUE"""),"Open cycling academy")</f>
        <v>Open cycling academy</v>
      </c>
      <c r="H23" s="37" t="str">
        <f>IFERROR(__xludf.DUMMYFUNCTION("""COMPUTED_VALUE"""),"ŽM")</f>
        <v>ŽM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209.0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)"),"10150342102")</f>
        <v>10150342102</v>
      </c>
      <c r="D24" s="37" t="str">
        <f>IFERROR(__xludf.DUMMYFUNCTION("""COMPUTED_VALUE"""),"Mats")</f>
        <v>Mats</v>
      </c>
      <c r="E24" s="37" t="str">
        <f>IFERROR(__xludf.DUMMYFUNCTION("""COMPUTED_VALUE"""),"Leibold")</f>
        <v>Leibold</v>
      </c>
      <c r="F24" s="37" t="str">
        <f>IFERROR(__xludf.DUMMYFUNCTION("""COMPUTED_VALUE"""),"GER")</f>
        <v>GER</v>
      </c>
      <c r="G24" s="37" t="str">
        <f>IFERROR(__xludf.DUMMYFUNCTION("""COMPUTED_VALUE"""),"ARBÖ ASKÖ RLM Wien")</f>
        <v>ARBÖ ASKÖ RLM Wien</v>
      </c>
      <c r="H24" s="37" t="str">
        <f>IFERROR(__xludf.DUMMYFUNCTION("""COMPUTED_VALUE"""),"ŽM")</f>
        <v>ŽM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225.0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)"),"10153443270")</f>
        <v>10153443270</v>
      </c>
      <c r="D25" s="37" t="str">
        <f>IFERROR(__xludf.DUMMYFUNCTION("""COMPUTED_VALUE"""),"Vršanský")</f>
        <v>Vršanský</v>
      </c>
      <c r="E25" s="37" t="str">
        <f>IFERROR(__xludf.DUMMYFUNCTION("""COMPUTED_VALUE"""),"Pavol Leo")</f>
        <v>Pavol Leo</v>
      </c>
      <c r="F25" s="37" t="str">
        <f>IFERROR(__xludf.DUMMYFUNCTION("""COMPUTED_VALUE"""),"SVK")</f>
        <v>SVK</v>
      </c>
      <c r="G25" s="37" t="str">
        <f>IFERROR(__xludf.DUMMYFUNCTION("""COMPUTED_VALUE"""),"Cys Akadémia Petra Sagana")</f>
        <v>Cys Akadémia Petra Sagana</v>
      </c>
      <c r="H25" s="37" t="str">
        <f>IFERROR(__xludf.DUMMYFUNCTION("""COMPUTED_VALUE"""),"ŽM")</f>
        <v>ŽM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229.0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)"),"10145695293")</f>
        <v>10145695293</v>
      </c>
      <c r="D26" s="37" t="str">
        <f>IFERROR(__xludf.DUMMYFUNCTION("""COMPUTED_VALUE"""),"Horák")</f>
        <v>Horák</v>
      </c>
      <c r="E26" s="37" t="str">
        <f>IFERROR(__xludf.DUMMYFUNCTION("""COMPUTED_VALUE"""),"Jakub")</f>
        <v>Jakub</v>
      </c>
      <c r="F26" s="37" t="str">
        <f>IFERROR(__xludf.DUMMYFUNCTION("""COMPUTED_VALUE"""),"CZE")</f>
        <v>CZE</v>
      </c>
      <c r="G26" s="37" t="str">
        <f>IFERROR(__xludf.DUMMYFUNCTION("""COMPUTED_VALUE"""),"Expres CZ Elmtrade Team Kolín")</f>
        <v>Expres CZ Elmtrade Team Kolín</v>
      </c>
      <c r="H26" s="37" t="str">
        <f>IFERROR(__xludf.DUMMYFUNCTION("""COMPUTED_VALUE"""),"ŽM")</f>
        <v>ŽM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231.0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)"),"10157788163")</f>
        <v>10157788163</v>
      </c>
      <c r="D27" s="37" t="str">
        <f>IFERROR(__xludf.DUMMYFUNCTION("""COMPUTED_VALUE"""),"Rycka")</f>
        <v>Rycka</v>
      </c>
      <c r="E27" s="37" t="str">
        <f>IFERROR(__xludf.DUMMYFUNCTION("""COMPUTED_VALUE"""),"Matěj")</f>
        <v>Matěj</v>
      </c>
      <c r="F27" s="37" t="str">
        <f>IFERROR(__xludf.DUMMYFUNCTION("""COMPUTED_VALUE"""),"CZE")</f>
        <v>CZE</v>
      </c>
      <c r="G27" s="37" t="str">
        <f>IFERROR(__xludf.DUMMYFUNCTION("""COMPUTED_VALUE"""),"FIEGE VELO AKADEMIE")</f>
        <v>FIEGE VELO AKADEMIE</v>
      </c>
      <c r="H27" s="37" t="str">
        <f>IFERROR(__xludf.DUMMYFUNCTION("""COMPUTED_VALUE"""),"ŽM")</f>
        <v>ŽM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219.0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)"),"10145413286")</f>
        <v>10145413286</v>
      </c>
      <c r="D28" s="37" t="str">
        <f>IFERROR(__xludf.DUMMYFUNCTION("""COMPUTED_VALUE"""),"Vojnarovič")</f>
        <v>Vojnarovič</v>
      </c>
      <c r="E28" s="37" t="str">
        <f>IFERROR(__xludf.DUMMYFUNCTION("""COMPUTED_VALUE"""),"Daniel")</f>
        <v>Daniel</v>
      </c>
      <c r="F28" s="37" t="str">
        <f>IFERROR(__xludf.DUMMYFUNCTION("""COMPUTED_VALUE"""),"CZE")</f>
        <v>CZE</v>
      </c>
      <c r="G28" s="37" t="str">
        <f>IFERROR(__xludf.DUMMYFUNCTION("""COMPUTED_VALUE"""),"Cycling academy Tábor")</f>
        <v>Cycling academy Tábor</v>
      </c>
      <c r="H28" s="37" t="str">
        <f>IFERROR(__xludf.DUMMYFUNCTION("""COMPUTED_VALUE"""),"ŽM")</f>
        <v>ŽM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206.0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)"),"10169457667")</f>
        <v>10169457667</v>
      </c>
      <c r="D29" s="37" t="str">
        <f>IFERROR(__xludf.DUMMYFUNCTION("""COMPUTED_VALUE"""),"Vojčák")</f>
        <v>Vojčák</v>
      </c>
      <c r="E29" s="37" t="str">
        <f>IFERROR(__xludf.DUMMYFUNCTION("""COMPUTED_VALUE"""),"Ondřej")</f>
        <v>Ondřej</v>
      </c>
      <c r="F29" s="37" t="str">
        <f>IFERROR(__xludf.DUMMYFUNCTION("""COMPUTED_VALUE"""),"CZE")</f>
        <v>CZE</v>
      </c>
      <c r="G29" s="37" t="str">
        <f>IFERROR(__xludf.DUMMYFUNCTION("""COMPUTED_VALUE"""),"ACS DRAK VRBNO")</f>
        <v>ACS DRAK VRBNO</v>
      </c>
      <c r="H29" s="37" t="str">
        <f>IFERROR(__xludf.DUMMYFUNCTION("""COMPUTED_VALUE"""),"ŽM")</f>
        <v>ŽM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222.0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)"),"10150473959")</f>
        <v>10150473959</v>
      </c>
      <c r="D30" s="37" t="str">
        <f>IFERROR(__xludf.DUMMYFUNCTION("""COMPUTED_VALUE"""),"DÁVIDIK")</f>
        <v>DÁVIDIK</v>
      </c>
      <c r="E30" s="37" t="str">
        <f>IFERROR(__xludf.DUMMYFUNCTION("""COMPUTED_VALUE"""),"Gregor")</f>
        <v>Gregor</v>
      </c>
      <c r="F30" s="37" t="str">
        <f>IFERROR(__xludf.DUMMYFUNCTION("""COMPUTED_VALUE"""),"SVK")</f>
        <v>SVK</v>
      </c>
      <c r="G30" s="37" t="str">
        <f>IFERROR(__xludf.DUMMYFUNCTION("""COMPUTED_VALUE"""),"CyS - Akadémia Petra Sagana")</f>
        <v>CyS - Akadémia Petra Sagana</v>
      </c>
      <c r="H30" s="37" t="str">
        <f>IFERROR(__xludf.DUMMYFUNCTION("""COMPUTED_VALUE"""),"ŽM")</f>
        <v>ŽM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217.0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)"),"10150974521")</f>
        <v>10150974521</v>
      </c>
      <c r="D31" s="37" t="str">
        <f>IFERROR(__xludf.DUMMYFUNCTION("""COMPUTED_VALUE"""),"Homola")</f>
        <v>Homola</v>
      </c>
      <c r="E31" s="37" t="str">
        <f>IFERROR(__xludf.DUMMYFUNCTION("""COMPUTED_VALUE"""),"Šimon")</f>
        <v>Šimon</v>
      </c>
      <c r="F31" s="37" t="str">
        <f>IFERROR(__xludf.DUMMYFUNCTION("""COMPUTED_VALUE"""),"SVK")</f>
        <v>SVK</v>
      </c>
      <c r="G31" s="37" t="str">
        <f>IFERROR(__xludf.DUMMYFUNCTION("""COMPUTED_VALUE"""),"CK Olympik Trnava")</f>
        <v>CK Olympik Trnava</v>
      </c>
      <c r="H31" s="37" t="str">
        <f>IFERROR(__xludf.DUMMYFUNCTION("""COMPUTED_VALUE"""),"ŽM")</f>
        <v>ŽM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221.0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)"),"10114282148")</f>
        <v>10114282148</v>
      </c>
      <c r="D32" s="37" t="str">
        <f>IFERROR(__xludf.DUMMYFUNCTION("""COMPUTED_VALUE"""),"ŠIDELSKÝ")</f>
        <v>ŠIDELSKÝ</v>
      </c>
      <c r="E32" s="37" t="str">
        <f>IFERROR(__xludf.DUMMYFUNCTION("""COMPUTED_VALUE"""),"Mário")</f>
        <v>Mário</v>
      </c>
      <c r="F32" s="37" t="str">
        <f>IFERROR(__xludf.DUMMYFUNCTION("""COMPUTED_VALUE"""),"SVK")</f>
        <v>SVK</v>
      </c>
      <c r="G32" s="37" t="str">
        <f>IFERROR(__xludf.DUMMYFUNCTION("""COMPUTED_VALUE"""),"CyS - Akadémia Petra Sagana")</f>
        <v>CyS - Akadémia Petra Sagana</v>
      </c>
      <c r="H32" s="37" t="str">
        <f>IFERROR(__xludf.DUMMYFUNCTION("""COMPUTED_VALUE"""),"ŽM")</f>
        <v>ŽM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223.0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)"),"10172667963")</f>
        <v>10172667963</v>
      </c>
      <c r="D33" s="37" t="str">
        <f>IFERROR(__xludf.DUMMYFUNCTION("""COMPUTED_VALUE"""),"BOLIBRUCH")</f>
        <v>BOLIBRUCH</v>
      </c>
      <c r="E33" s="37" t="str">
        <f>IFERROR(__xludf.DUMMYFUNCTION("""COMPUTED_VALUE"""),"Teodor")</f>
        <v>Teodor</v>
      </c>
      <c r="F33" s="37" t="str">
        <f>IFERROR(__xludf.DUMMYFUNCTION("""COMPUTED_VALUE"""),"SVK")</f>
        <v>SVK</v>
      </c>
      <c r="G33" s="37" t="str">
        <f>IFERROR(__xludf.DUMMYFUNCTION("""COMPUTED_VALUE"""),"CyS - Akadémia Petra Sagana")</f>
        <v>CyS - Akadémia Petra Sagana</v>
      </c>
      <c r="H33" s="37" t="str">
        <f>IFERROR(__xludf.DUMMYFUNCTION("""COMPUTED_VALUE"""),"ŽM")</f>
        <v>ŽM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218.0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)"),"10140250765")</f>
        <v>10140250765</v>
      </c>
      <c r="D34" s="37" t="str">
        <f>IFERROR(__xludf.DUMMYFUNCTION("""COMPUTED_VALUE"""),"Hájek")</f>
        <v>Hájek</v>
      </c>
      <c r="E34" s="37" t="str">
        <f>IFERROR(__xludf.DUMMYFUNCTION("""COMPUTED_VALUE"""),"Matěj")</f>
        <v>Matěj</v>
      </c>
      <c r="F34" s="37" t="str">
        <f>IFERROR(__xludf.DUMMYFUNCTION("""COMPUTED_VALUE"""),"CZE")</f>
        <v>CZE</v>
      </c>
      <c r="G34" s="37" t="str">
        <f>IFERROR(__xludf.DUMMYFUNCTION("""COMPUTED_VALUE"""),"CP Team")</f>
        <v>CP Team</v>
      </c>
      <c r="H34" s="37" t="str">
        <f>IFERROR(__xludf.DUMMYFUNCTION("""COMPUTED_VALUE"""),"ŽM")</f>
        <v>ŽM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239.0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)"),"10144115712")</f>
        <v>10144115712</v>
      </c>
      <c r="D35" s="37" t="str">
        <f>IFERROR(__xludf.DUMMYFUNCTION("""COMPUTED_VALUE"""),"Taraba")</f>
        <v>Taraba</v>
      </c>
      <c r="E35" s="37" t="str">
        <f>IFERROR(__xludf.DUMMYFUNCTION("""COMPUTED_VALUE"""),"Šimon")</f>
        <v>Šimon</v>
      </c>
      <c r="F35" s="37" t="str">
        <f>IFERROR(__xludf.DUMMYFUNCTION("""COMPUTED_VALUE"""),"CZE")</f>
        <v>CZE</v>
      </c>
      <c r="G35" s="37" t="str">
        <f>IFERROR(__xludf.DUMMYFUNCTION("""COMPUTED_VALUE"""),"Superior Team Jeseník")</f>
        <v>Superior Team Jeseník</v>
      </c>
      <c r="H35" s="37" t="str">
        <f>IFERROR(__xludf.DUMMYFUNCTION("""COMPUTED_VALUE"""),"ŽM")</f>
        <v>ŽM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406.0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)"),"10163189245")</f>
        <v>10163189245</v>
      </c>
      <c r="D36" s="37" t="str">
        <f>IFERROR(__xludf.DUMMYFUNCTION("""COMPUTED_VALUE"""),"Chrastina")</f>
        <v>Chrastina</v>
      </c>
      <c r="E36" s="37" t="str">
        <f>IFERROR(__xludf.DUMMYFUNCTION("""COMPUTED_VALUE"""),"Ondrej")</f>
        <v>Ondrej</v>
      </c>
      <c r="F36" s="37" t="str">
        <f>IFERROR(__xludf.DUMMYFUNCTION("""COMPUTED_VALUE"""),"SVK")</f>
        <v>SVK</v>
      </c>
      <c r="G36" s="37" t="str">
        <f>IFERROR(__xludf.DUMMYFUNCTION("""COMPUTED_VALUE"""),"CLIMBERG SPORT TEAM")</f>
        <v>CLIMBERG SPORT TEAM</v>
      </c>
      <c r="H36" s="37" t="str">
        <f>IFERROR(__xludf.DUMMYFUNCTION("""COMPUTED_VALUE"""),"ŽM")</f>
        <v>ŽM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404.0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)"),"10157486150")</f>
        <v>10157486150</v>
      </c>
      <c r="D37" s="37" t="str">
        <f>IFERROR(__xludf.DUMMYFUNCTION("""COMPUTED_VALUE"""),"Vačkář")</f>
        <v>Vačkář</v>
      </c>
      <c r="E37" s="37" t="str">
        <f>IFERROR(__xludf.DUMMYFUNCTION("""COMPUTED_VALUE"""),"Ondřej")</f>
        <v>Ondřej</v>
      </c>
      <c r="F37" s="37" t="str">
        <f>IFERROR(__xludf.DUMMYFUNCTION("""COMPUTED_VALUE"""),"CZE")</f>
        <v>CZE</v>
      </c>
      <c r="G37" s="37" t="str">
        <f>IFERROR(__xludf.DUMMYFUNCTION("""COMPUTED_VALUE"""),"TUFO PARDUS Prostějov")</f>
        <v>TUFO PARDUS Prostějov</v>
      </c>
      <c r="H37" s="37" t="str">
        <f>IFERROR(__xludf.DUMMYFUNCTION("""COMPUTED_VALUE"""),"ŽM")</f>
        <v>ŽM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214.0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)"),"10127979457")</f>
        <v>10127979457</v>
      </c>
      <c r="D38" s="37" t="str">
        <f>IFERROR(__xludf.DUMMYFUNCTION("""COMPUTED_VALUE"""),"Kováč")</f>
        <v>Kováč</v>
      </c>
      <c r="E38" s="37" t="str">
        <f>IFERROR(__xludf.DUMMYFUNCTION("""COMPUTED_VALUE"""),"Peter")</f>
        <v>Peter</v>
      </c>
      <c r="F38" s="37" t="str">
        <f>IFERROR(__xludf.DUMMYFUNCTION("""COMPUTED_VALUE"""),"SVK")</f>
        <v>SVK</v>
      </c>
      <c r="G38" s="37" t="str">
        <f>IFERROR(__xludf.DUMMYFUNCTION("""COMPUTED_VALUE"""),"CK Olympik Trnava")</f>
        <v>CK Olympik Trnava</v>
      </c>
      <c r="H38" s="37" t="str">
        <f>IFERROR(__xludf.DUMMYFUNCTION("""COMPUTED_VALUE"""),"ŽM")</f>
        <v>ŽM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208.0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)"),"10147761696")</f>
        <v>10147761696</v>
      </c>
      <c r="D39" s="37" t="str">
        <f>IFERROR(__xludf.DUMMYFUNCTION("""COMPUTED_VALUE"""),"Arun")</f>
        <v>Arun</v>
      </c>
      <c r="E39" s="37" t="str">
        <f>IFERROR(__xludf.DUMMYFUNCTION("""COMPUTED_VALUE"""),"Seefeld")</f>
        <v>Seefeld</v>
      </c>
      <c r="F39" s="37" t="str">
        <f>IFERROR(__xludf.DUMMYFUNCTION("""COMPUTED_VALUE"""),"GER")</f>
        <v>GER</v>
      </c>
      <c r="G39" s="37" t="str">
        <f>IFERROR(__xludf.DUMMYFUNCTION("""COMPUTED_VALUE"""),"ARBÖ ASKÖ RLM Wien")</f>
        <v>ARBÖ ASKÖ RLM Wien</v>
      </c>
      <c r="H39" s="37" t="str">
        <f>IFERROR(__xludf.DUMMYFUNCTION("""COMPUTED_VALUE"""),"ŽM")</f>
        <v>ŽM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>
        <v>26.0</v>
      </c>
      <c r="B40" s="35">
        <v>232.0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)"),"10157623768")</f>
        <v>10157623768</v>
      </c>
      <c r="D40" s="37" t="str">
        <f>IFERROR(__xludf.DUMMYFUNCTION("""COMPUTED_VALUE"""),"Loubal")</f>
        <v>Loubal</v>
      </c>
      <c r="E40" s="37" t="str">
        <f>IFERROR(__xludf.DUMMYFUNCTION("""COMPUTED_VALUE"""),"Jakub")</f>
        <v>Jakub</v>
      </c>
      <c r="F40" s="37" t="str">
        <f>IFERROR(__xludf.DUMMYFUNCTION("""COMPUTED_VALUE"""),"CZE")</f>
        <v>CZE</v>
      </c>
      <c r="G40" s="37" t="str">
        <f>IFERROR(__xludf.DUMMYFUNCTION("""COMPUTED_VALUE"""),"FORCE cycling team Zlín")</f>
        <v>FORCE cycling team Zlín</v>
      </c>
      <c r="H40" s="37" t="str">
        <f>IFERROR(__xludf.DUMMYFUNCTION("""COMPUTED_VALUE"""),"ŽM")</f>
        <v>ŽM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>
        <v>27.0</v>
      </c>
      <c r="B41" s="35">
        <v>211.0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)"),"10155213320")</f>
        <v>10155213320</v>
      </c>
      <c r="D41" s="37" t="str">
        <f>IFERROR(__xludf.DUMMYFUNCTION("""COMPUTED_VALUE"""),"Schubert")</f>
        <v>Schubert</v>
      </c>
      <c r="E41" s="37" t="str">
        <f>IFERROR(__xludf.DUMMYFUNCTION("""COMPUTED_VALUE"""),"Tobiáš")</f>
        <v>Tobiáš</v>
      </c>
      <c r="F41" s="37" t="str">
        <f>IFERROR(__xludf.DUMMYFUNCTION("""COMPUTED_VALUE"""),"SVK")</f>
        <v>SVK</v>
      </c>
      <c r="G41" s="37" t="str">
        <f>IFERROR(__xludf.DUMMYFUNCTION("""COMPUTED_VALUE"""),"CK DUKLA BRATISLAVA")</f>
        <v>CK DUKLA BRATISLAVA</v>
      </c>
      <c r="H41" s="37" t="str">
        <f>IFERROR(__xludf.DUMMYFUNCTION("""COMPUTED_VALUE"""),"ŽM")</f>
        <v>ŽM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>
        <v>28.0</v>
      </c>
      <c r="B42" s="35">
        <v>213.0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)"),"10160745249")</f>
        <v>10160745249</v>
      </c>
      <c r="D42" s="37" t="str">
        <f>IFERROR(__xludf.DUMMYFUNCTION("""COMPUTED_VALUE"""),"Zdravecký")</f>
        <v>Zdravecký</v>
      </c>
      <c r="E42" s="37" t="str">
        <f>IFERROR(__xludf.DUMMYFUNCTION("""COMPUTED_VALUE"""),"Michal")</f>
        <v>Michal</v>
      </c>
      <c r="F42" s="37" t="str">
        <f>IFERROR(__xludf.DUMMYFUNCTION("""COMPUTED_VALUE"""),"SVK")</f>
        <v>SVK</v>
      </c>
      <c r="G42" s="37" t="str">
        <f>IFERROR(__xludf.DUMMYFUNCTION("""COMPUTED_VALUE"""),"CK Olympik Trnava")</f>
        <v>CK Olympik Trnava</v>
      </c>
      <c r="H42" s="37" t="str">
        <f>IFERROR(__xludf.DUMMYFUNCTION("""COMPUTED_VALUE"""),"ŽM")</f>
        <v>ŽM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>
        <v>29.0</v>
      </c>
      <c r="B43" s="35">
        <v>405.0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)"),"10157620435")</f>
        <v>10157620435</v>
      </c>
      <c r="D43" s="37" t="str">
        <f>IFERROR(__xludf.DUMMYFUNCTION("""COMPUTED_VALUE"""),"Dlabaja")</f>
        <v>Dlabaja</v>
      </c>
      <c r="E43" s="37" t="str">
        <f>IFERROR(__xludf.DUMMYFUNCTION("""COMPUTED_VALUE"""),"Vojtěch")</f>
        <v>Vojtěch</v>
      </c>
      <c r="F43" s="37" t="str">
        <f>IFERROR(__xludf.DUMMYFUNCTION("""COMPUTED_VALUE"""),"CZE")</f>
        <v>CZE</v>
      </c>
      <c r="G43" s="37" t="str">
        <f>IFERROR(__xludf.DUMMYFUNCTION("""COMPUTED_VALUE"""),"FORCE cycling team Zlín")</f>
        <v>FORCE cycling team Zlín</v>
      </c>
      <c r="H43" s="37" t="str">
        <f>IFERROR(__xludf.DUMMYFUNCTION("""COMPUTED_VALUE"""),"ŽM")</f>
        <v>ŽM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>
        <v>30.0</v>
      </c>
      <c r="B44" s="35">
        <v>402.0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)"),"10163374757")</f>
        <v>10163374757</v>
      </c>
      <c r="D44" s="37" t="str">
        <f>IFERROR(__xludf.DUMMYFUNCTION("""COMPUTED_VALUE"""),"DOFEK")</f>
        <v>DOFEK</v>
      </c>
      <c r="E44" s="37" t="str">
        <f>IFERROR(__xludf.DUMMYFUNCTION("""COMPUTED_VALUE"""),"Šimon")</f>
        <v>Šimon</v>
      </c>
      <c r="F44" s="37" t="str">
        <f>IFERROR(__xludf.DUMMYFUNCTION("""COMPUTED_VALUE"""),"CZE")</f>
        <v>CZE</v>
      </c>
      <c r="G44" s="37" t="str">
        <f>IFERROR(__xludf.DUMMYFUNCTION("""COMPUTED_VALUE"""),"TJ FAVORIT BRNO")</f>
        <v>TJ FAVORIT BRNO</v>
      </c>
      <c r="H44" s="37" t="str">
        <f>IFERROR(__xludf.DUMMYFUNCTION("""COMPUTED_VALUE"""),"ŽM")</f>
        <v>ŽM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>
        <v>31.0</v>
      </c>
      <c r="B45" s="35">
        <v>215.0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)"),"10150974622")</f>
        <v>10150974622</v>
      </c>
      <c r="D45" s="37" t="str">
        <f>IFERROR(__xludf.DUMMYFUNCTION("""COMPUTED_VALUE"""),"Hrubala")</f>
        <v>Hrubala</v>
      </c>
      <c r="E45" s="37" t="str">
        <f>IFERROR(__xludf.DUMMYFUNCTION("""COMPUTED_VALUE"""),"Marcus")</f>
        <v>Marcus</v>
      </c>
      <c r="F45" s="37" t="str">
        <f>IFERROR(__xludf.DUMMYFUNCTION("""COMPUTED_VALUE"""),"SVK")</f>
        <v>SVK</v>
      </c>
      <c r="G45" s="37" t="str">
        <f>IFERROR(__xludf.DUMMYFUNCTION("""COMPUTED_VALUE"""),"CK Olympik Trnava")</f>
        <v>CK Olympik Trnava</v>
      </c>
      <c r="H45" s="37" t="str">
        <f>IFERROR(__xludf.DUMMYFUNCTION("""COMPUTED_VALUE"""),"ŽM")</f>
        <v>ŽM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>
        <v>32.0</v>
      </c>
      <c r="B46" s="35">
        <v>216.0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)"),"10160745350")</f>
        <v>10160745350</v>
      </c>
      <c r="D46" s="37" t="str">
        <f>IFERROR(__xludf.DUMMYFUNCTION("""COMPUTED_VALUE"""),"Benkovský")</f>
        <v>Benkovský</v>
      </c>
      <c r="E46" s="37" t="str">
        <f>IFERROR(__xludf.DUMMYFUNCTION("""COMPUTED_VALUE"""),"Radovan")</f>
        <v>Radovan</v>
      </c>
      <c r="F46" s="37" t="str">
        <f>IFERROR(__xludf.DUMMYFUNCTION("""COMPUTED_VALUE"""),"SVK")</f>
        <v>SVK</v>
      </c>
      <c r="G46" s="37" t="str">
        <f>IFERROR(__xludf.DUMMYFUNCTION("""COMPUTED_VALUE"""),"CK Olympik Trnava")</f>
        <v>CK Olympik Trnava</v>
      </c>
      <c r="H46" s="37" t="str">
        <f>IFERROR(__xludf.DUMMYFUNCTION("""COMPUTED_VALUE"""),"ŽM")</f>
        <v>ŽM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>
        <v>33.0</v>
      </c>
      <c r="B47" s="35">
        <v>201.0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)"),"10158885273")</f>
        <v>10158885273</v>
      </c>
      <c r="D47" s="37" t="str">
        <f>IFERROR(__xludf.DUMMYFUNCTION("""COMPUTED_VALUE"""),"Fojtík")</f>
        <v>Fojtík</v>
      </c>
      <c r="E47" s="37" t="str">
        <f>IFERROR(__xludf.DUMMYFUNCTION("""COMPUTED_VALUE"""),"Daniel")</f>
        <v>Daniel</v>
      </c>
      <c r="F47" s="37" t="str">
        <f>IFERROR(__xludf.DUMMYFUNCTION("""COMPUTED_VALUE"""),"CZE")</f>
        <v>CZE</v>
      </c>
      <c r="G47" s="37" t="str">
        <f>IFERROR(__xludf.DUMMYFUNCTION("""COMPUTED_VALUE"""),"SPORTCOMPLEX Břeclav")</f>
        <v>SPORTCOMPLEX Břeclav</v>
      </c>
      <c r="H47" s="37" t="str">
        <f>IFERROR(__xludf.DUMMYFUNCTION("""COMPUTED_VALUE"""),"ŽM")</f>
        <v>ŽM</v>
      </c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>
        <v>34.0</v>
      </c>
      <c r="B48" s="35">
        <v>224.0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)"),"10150473757")</f>
        <v>10150473757</v>
      </c>
      <c r="D48" s="37" t="str">
        <f>IFERROR(__xludf.DUMMYFUNCTION("""COMPUTED_VALUE"""),"GAŠPIERIK")</f>
        <v>GAŠPIERIK</v>
      </c>
      <c r="E48" s="37" t="str">
        <f>IFERROR(__xludf.DUMMYFUNCTION("""COMPUTED_VALUE"""),"Július")</f>
        <v>Július</v>
      </c>
      <c r="F48" s="37" t="str">
        <f>IFERROR(__xludf.DUMMYFUNCTION("""COMPUTED_VALUE"""),"SVK")</f>
        <v>SVK</v>
      </c>
      <c r="G48" s="37" t="str">
        <f>IFERROR(__xludf.DUMMYFUNCTION("""COMPUTED_VALUE"""),"CyS - Akadémia Petra Sagana")</f>
        <v>CyS - Akadémia Petra Sagana</v>
      </c>
      <c r="H48" s="37" t="str">
        <f>IFERROR(__xludf.DUMMYFUNCTION("""COMPUTED_VALUE"""),"ŽM")</f>
        <v>ŽM</v>
      </c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>
        <v>35.0</v>
      </c>
      <c r="B49" s="35">
        <v>207.0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)"),"10168991461")</f>
        <v>10168991461</v>
      </c>
      <c r="D49" s="37" t="str">
        <f>IFERROR(__xludf.DUMMYFUNCTION("""COMPUTED_VALUE"""),"Philip")</f>
        <v>Philip</v>
      </c>
      <c r="E49" s="37" t="str">
        <f>IFERROR(__xludf.DUMMYFUNCTION("""COMPUTED_VALUE"""),"Weiner")</f>
        <v>Weiner</v>
      </c>
      <c r="F49" s="37" t="str">
        <f>IFERROR(__xludf.DUMMYFUNCTION("""COMPUTED_VALUE"""),"AUT")</f>
        <v>AUT</v>
      </c>
      <c r="G49" s="37" t="str">
        <f>IFERROR(__xludf.DUMMYFUNCTION("""COMPUTED_VALUE"""),"ARBÖ ASKÖ RLM Wien")</f>
        <v>ARBÖ ASKÖ RLM Wien</v>
      </c>
      <c r="H49" s="37" t="str">
        <f>IFERROR(__xludf.DUMMYFUNCTION("""COMPUTED_VALUE"""),"ŽM")</f>
        <v>ŽM</v>
      </c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>
        <v>36.0</v>
      </c>
      <c r="B50" s="35">
        <v>238.0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)"),"10150486184")</f>
        <v>10150486184</v>
      </c>
      <c r="D50" s="37" t="str">
        <f>IFERROR(__xludf.DUMMYFUNCTION("""COMPUTED_VALUE"""),"Felbaba")</f>
        <v>Felbaba</v>
      </c>
      <c r="E50" s="37" t="str">
        <f>IFERROR(__xludf.DUMMYFUNCTION("""COMPUTED_VALUE"""),"Kryštof")</f>
        <v>Kryštof</v>
      </c>
      <c r="F50" s="37" t="str">
        <f>IFERROR(__xludf.DUMMYFUNCTION("""COMPUTED_VALUE"""),"CZE")</f>
        <v>CZE</v>
      </c>
      <c r="G50" s="37" t="str">
        <f>IFERROR(__xludf.DUMMYFUNCTION("""COMPUTED_VALUE"""),"SK Edie Team Vsetín")</f>
        <v>SK Edie Team Vsetín</v>
      </c>
      <c r="H50" s="37" t="str">
        <f>IFERROR(__xludf.DUMMYFUNCTION("""COMPUTED_VALUE"""),"ŽM")</f>
        <v>ŽM</v>
      </c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>
        <v>37.0</v>
      </c>
      <c r="B51" s="35">
        <v>403.0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)"),"10163381326")</f>
        <v>10163381326</v>
      </c>
      <c r="D51" s="37" t="str">
        <f>IFERROR(__xludf.DUMMYFUNCTION("""COMPUTED_VALUE"""),"Zavřel")</f>
        <v>Zavřel</v>
      </c>
      <c r="E51" s="37" t="str">
        <f>IFERROR(__xludf.DUMMYFUNCTION("""COMPUTED_VALUE"""),"Štěpán")</f>
        <v>Štěpán</v>
      </c>
      <c r="F51" s="37" t="str">
        <f>IFERROR(__xludf.DUMMYFUNCTION("""COMPUTED_VALUE"""),"CZE")</f>
        <v>CZE</v>
      </c>
      <c r="G51" s="37" t="str">
        <f>IFERROR(__xludf.DUMMYFUNCTION("""COMPUTED_VALUE"""),"TUFO PARDUS Prostějov")</f>
        <v>TUFO PARDUS Prostějov</v>
      </c>
      <c r="H51" s="37" t="str">
        <f>IFERROR(__xludf.DUMMYFUNCTION("""COMPUTED_VALUE"""),"ŽM")</f>
        <v>ŽM</v>
      </c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>
        <v>38.0</v>
      </c>
      <c r="B52" s="35">
        <v>401.0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)"),"10164350518")</f>
        <v>10164350518</v>
      </c>
      <c r="D52" s="37" t="str">
        <f>IFERROR(__xludf.DUMMYFUNCTION("""COMPUTED_VALUE"""),"Najdekr")</f>
        <v>Najdekr</v>
      </c>
      <c r="E52" s="37" t="str">
        <f>IFERROR(__xludf.DUMMYFUNCTION("""COMPUTED_VALUE"""),"Matěj")</f>
        <v>Matěj</v>
      </c>
      <c r="F52" s="37" t="str">
        <f>IFERROR(__xludf.DUMMYFUNCTION("""COMPUTED_VALUE"""),"CZE")</f>
        <v>CZE</v>
      </c>
      <c r="G52" s="37" t="str">
        <f>IFERROR(__xludf.DUMMYFUNCTION("""COMPUTED_VALUE"""),"Superior Team Jeseník")</f>
        <v>Superior Team Jeseník</v>
      </c>
      <c r="H52" s="37" t="str">
        <f>IFERROR(__xludf.DUMMYFUNCTION("""COMPUTED_VALUE"""),"ŽM")</f>
        <v>ŽM</v>
      </c>
      <c r="I52" s="38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>
        <v>39.0</v>
      </c>
      <c r="B53" s="35">
        <v>226.0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)"),"10149226400")</f>
        <v>10149226400</v>
      </c>
      <c r="D53" s="37" t="str">
        <f>IFERROR(__xludf.DUMMYFUNCTION("""COMPUTED_VALUE"""),"Honel")</f>
        <v>Honel</v>
      </c>
      <c r="E53" s="37" t="str">
        <f>IFERROR(__xludf.DUMMYFUNCTION("""COMPUTED_VALUE"""),"Matěj")</f>
        <v>Matěj</v>
      </c>
      <c r="F53" s="37" t="str">
        <f>IFERROR(__xludf.DUMMYFUNCTION("""COMPUTED_VALUE"""),"CZE")</f>
        <v>CZE</v>
      </c>
      <c r="G53" s="37" t="str">
        <f>IFERROR(__xludf.DUMMYFUNCTION("""COMPUTED_VALUE"""),"DRAHANSKÝ SPORT")</f>
        <v>DRAHANSKÝ SPORT</v>
      </c>
      <c r="H53" s="37" t="str">
        <f>IFERROR(__xludf.DUMMYFUNCTION("""COMPUTED_VALUE"""),"ŽM")</f>
        <v>ŽM</v>
      </c>
      <c r="I53" s="38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>
        <v>40.0</v>
      </c>
      <c r="B54" s="45">
        <v>240.0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)"),"10144615563")</f>
        <v>10144615563</v>
      </c>
      <c r="D54" s="44" t="str">
        <f>IFERROR(__xludf.DUMMYFUNCTION("""COMPUTED_VALUE"""),"Kouřil")</f>
        <v>Kouřil</v>
      </c>
      <c r="E54" s="44" t="str">
        <f>IFERROR(__xludf.DUMMYFUNCTION("""COMPUTED_VALUE"""),"Adam")</f>
        <v>Adam</v>
      </c>
      <c r="F54" s="44" t="str">
        <f>IFERROR(__xludf.DUMMYFUNCTION("""COMPUTED_VALUE"""),"CZE")</f>
        <v>CZE</v>
      </c>
      <c r="G54" s="44" t="str">
        <f>IFERROR(__xludf.DUMMYFUNCTION("""COMPUTED_VALUE"""),"Superior Team Jeseník")</f>
        <v>Superior Team Jeseník</v>
      </c>
      <c r="H54" s="44" t="str">
        <f>IFERROR(__xludf.DUMMYFUNCTION("""COMPUTED_VALUE"""),"ŽM")</f>
        <v>ŽM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45" t="s">
        <v>37</v>
      </c>
      <c r="B55" s="45">
        <v>235.0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)"),"10108874501")</f>
        <v>10108874501</v>
      </c>
      <c r="D55" s="44" t="str">
        <f>IFERROR(__xludf.DUMMYFUNCTION("""COMPUTED_VALUE"""),"Matyasik")</f>
        <v>Matyasik</v>
      </c>
      <c r="E55" s="44" t="str">
        <f>IFERROR(__xludf.DUMMYFUNCTION("""COMPUTED_VALUE"""),"Nikodem")</f>
        <v>Nikodem</v>
      </c>
      <c r="F55" s="44" t="str">
        <f>IFERROR(__xludf.DUMMYFUNCTION("""COMPUTED_VALUE"""),"POL")</f>
        <v>POL</v>
      </c>
      <c r="G55" s="44" t="str">
        <f>IFERROR(__xludf.DUMMYFUNCTION("""COMPUTED_VALUE"""),"Niezrzeszony")</f>
        <v>Niezrzeszony</v>
      </c>
      <c r="H55" s="44" t="str">
        <f>IFERROR(__xludf.DUMMYFUNCTION("""COMPUTED_VALUE"""),"ŽM")</f>
        <v>ŽM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45" t="s">
        <v>37</v>
      </c>
      <c r="B56" s="45">
        <v>202.0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)"),"10158699660")</f>
        <v>10158699660</v>
      </c>
      <c r="D56" s="44" t="str">
        <f>IFERROR(__xludf.DUMMYFUNCTION("""COMPUTED_VALUE"""),"Bachman")</f>
        <v>Bachman</v>
      </c>
      <c r="E56" s="44" t="str">
        <f>IFERROR(__xludf.DUMMYFUNCTION("""COMPUTED_VALUE"""),"Mikuláš")</f>
        <v>Mikuláš</v>
      </c>
      <c r="F56" s="44" t="str">
        <f>IFERROR(__xludf.DUMMYFUNCTION("""COMPUTED_VALUE"""),"CZE")</f>
        <v>CZE</v>
      </c>
      <c r="G56" s="44" t="str">
        <f>IFERROR(__xludf.DUMMYFUNCTION("""COMPUTED_VALUE"""),"SPORTCOMPLEX Břeclav")</f>
        <v>SPORTCOMPLEX Břeclav</v>
      </c>
      <c r="H56" s="44" t="str">
        <f>IFERROR(__xludf.DUMMYFUNCTION("""COMPUTED_VALUE"""),"ŽM")</f>
        <v>ŽM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45" t="s">
        <v>37</v>
      </c>
      <c r="B57" s="45">
        <v>203.0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)"),"10169951155")</f>
        <v>10169951155</v>
      </c>
      <c r="D57" s="44" t="str">
        <f>IFERROR(__xludf.DUMMYFUNCTION("""COMPUTED_VALUE"""),"Dresler")</f>
        <v>Dresler</v>
      </c>
      <c r="E57" s="44" t="str">
        <f>IFERROR(__xludf.DUMMYFUNCTION("""COMPUTED_VALUE"""),"Mikuláš")</f>
        <v>Mikuláš</v>
      </c>
      <c r="F57" s="44" t="str">
        <f>IFERROR(__xludf.DUMMYFUNCTION("""COMPUTED_VALUE"""),"CZE")</f>
        <v>CZE</v>
      </c>
      <c r="G57" s="44" t="str">
        <f>IFERROR(__xludf.DUMMYFUNCTION("""COMPUTED_VALUE"""),"SPORTCOMPLEX Břeclav")</f>
        <v>SPORTCOMPLEX Břeclav</v>
      </c>
      <c r="H57" s="44" t="str">
        <f>IFERROR(__xludf.DUMMYFUNCTION("""COMPUTED_VALUE"""),"ŽM")</f>
        <v>ŽM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45" t="s">
        <v>37</v>
      </c>
      <c r="B58" s="45">
        <v>204.0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)"),"10169956108")</f>
        <v>10169956108</v>
      </c>
      <c r="D58" s="44" t="str">
        <f>IFERROR(__xludf.DUMMYFUNCTION("""COMPUTED_VALUE"""),"Zborovský")</f>
        <v>Zborovský</v>
      </c>
      <c r="E58" s="44" t="str">
        <f>IFERROR(__xludf.DUMMYFUNCTION("""COMPUTED_VALUE"""),"Maxim")</f>
        <v>Maxim</v>
      </c>
      <c r="F58" s="44" t="str">
        <f>IFERROR(__xludf.DUMMYFUNCTION("""COMPUTED_VALUE"""),"CZE")</f>
        <v>CZE</v>
      </c>
      <c r="G58" s="44" t="str">
        <f>IFERROR(__xludf.DUMMYFUNCTION("""COMPUTED_VALUE"""),"SPORTCOMPLEX Břeclav")</f>
        <v>SPORTCOMPLEX Břeclav</v>
      </c>
      <c r="H58" s="44" t="str">
        <f>IFERROR(__xludf.DUMMYFUNCTION("""COMPUTED_VALUE"""),"ŽM")</f>
        <v>ŽM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45" t="s">
        <v>39</v>
      </c>
      <c r="B59" s="48"/>
      <c r="C59" s="41">
        <v>1.0159184963E10</v>
      </c>
      <c r="D59" s="49" t="s">
        <v>130</v>
      </c>
      <c r="E59" s="49" t="s">
        <v>117</v>
      </c>
      <c r="F59" s="49" t="s">
        <v>42</v>
      </c>
      <c r="G59" s="49" t="s">
        <v>110</v>
      </c>
      <c r="H59" s="49" t="s">
        <v>128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idden="1">
      <c r="A119" s="43"/>
      <c r="B119" s="43"/>
      <c r="C119" s="37" t="str">
        <f>IFERROR(__xludf.DUMMYFUNCTION("IFERROR(
QUERY(
IMPORTRANGE(""1TegarCDw2dx-vCuwksNSPnqrAOJXGYg_ek3_j9ooJnQ"",""List1!B:H""),
""select Col2,Col3,Col4,Col5,Col6,Col7 where Col1='""&amp;B119&amp;""' and Col7='""&amp;$B$9&amp;""'"",
0
),
""""
)"),"")</f>
        <v/>
      </c>
      <c r="D119" s="44"/>
      <c r="E119" s="44"/>
      <c r="F119" s="44"/>
      <c r="G119" s="44"/>
      <c r="H119" s="44"/>
      <c r="I119" s="4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idden="1">
      <c r="A120" s="43"/>
      <c r="B120" s="43"/>
      <c r="C120" s="37" t="str">
        <f>IFERROR(__xludf.DUMMYFUNCTION("IFERROR(
QUERY(
IMPORTRANGE(""1TegarCDw2dx-vCuwksNSPnqrAOJXGYg_ek3_j9ooJnQ"",""List1!B:H""),
""select Col2,Col3,Col4,Col5,Col6,Col7 where Col1='""&amp;B120&amp;""' and Col7='""&amp;$B$9&amp;""'"",
0
),
""""
)"),"")</f>
        <v/>
      </c>
      <c r="D120" s="44"/>
      <c r="E120" s="44"/>
      <c r="F120" s="44"/>
      <c r="G120" s="44"/>
      <c r="H120" s="44"/>
      <c r="I120" s="4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idden="1">
      <c r="A121" s="46"/>
      <c r="B121" s="47"/>
      <c r="C121" s="47"/>
      <c r="D121" s="47"/>
      <c r="E121" s="47"/>
      <c r="F121" s="47"/>
      <c r="G121" s="47"/>
      <c r="H121" s="47"/>
      <c r="I121" s="47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/>
      <c r="B123" s="18"/>
      <c r="C123" s="18"/>
      <c r="D123" s="18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8"/>
      <c r="B124" s="18"/>
      <c r="C124" s="18"/>
      <c r="D124" s="18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63</v>
      </c>
      <c r="C125" s="18">
        <v>4.0</v>
      </c>
      <c r="D125" s="18" t="s">
        <v>64</v>
      </c>
      <c r="E125" s="14"/>
      <c r="F125" s="14"/>
      <c r="G125" s="18" t="s">
        <v>65</v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8" t="s">
        <v>66</v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8" t="s">
        <v>67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  <row r="1094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</row>
    <row r="1095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</row>
  </sheetData>
  <mergeCells count="10">
    <mergeCell ref="A12:B12"/>
    <mergeCell ref="A125:B125"/>
    <mergeCell ref="A127:B127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7BA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127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129</v>
      </c>
      <c r="C9" s="21"/>
      <c r="D9" s="23" t="s">
        <v>18</v>
      </c>
      <c r="E9" s="24">
        <v>8.0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25.0</v>
      </c>
      <c r="D12" s="18" t="s">
        <v>25</v>
      </c>
      <c r="E12" s="26">
        <v>25.0</v>
      </c>
      <c r="F12" s="28"/>
      <c r="G12" s="18" t="s">
        <v>26</v>
      </c>
      <c r="H12" s="26">
        <v>23.0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359.0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)"),"10132895438")</f>
        <v>10132895438</v>
      </c>
      <c r="D15" s="37" t="str">
        <f>IFERROR(__xludf.DUMMYFUNCTION("""COMPUTED_VALUE"""),"Malinská")</f>
        <v>Malinská</v>
      </c>
      <c r="E15" s="37" t="str">
        <f>IFERROR(__xludf.DUMMYFUNCTION("""COMPUTED_VALUE"""),"Adéla")</f>
        <v>Adéla</v>
      </c>
      <c r="F15" s="37" t="str">
        <f>IFERROR(__xludf.DUMMYFUNCTION("""COMPUTED_VALUE"""),"CZE")</f>
        <v>CZE</v>
      </c>
      <c r="G15" s="37" t="str">
        <f>IFERROR(__xludf.DUMMYFUNCTION("""COMPUTED_VALUE"""),"ČEZ Cyklo Team Tábor")</f>
        <v>ČEZ Cyklo Team Tábor</v>
      </c>
      <c r="H15" s="37" t="str">
        <f>IFERROR(__xludf.DUMMYFUNCTION("""COMPUTED_VALUE"""),"F*ŽM")</f>
        <v>F*ŽM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352.0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)"),"10144191187")</f>
        <v>10144191187</v>
      </c>
      <c r="D16" s="37" t="str">
        <f>IFERROR(__xludf.DUMMYFUNCTION("""COMPUTED_VALUE"""),"Dolečková")</f>
        <v>Dolečková</v>
      </c>
      <c r="E16" s="37" t="str">
        <f>IFERROR(__xludf.DUMMYFUNCTION("""COMPUTED_VALUE"""),"Kristýna")</f>
        <v>Kristýna</v>
      </c>
      <c r="F16" s="37" t="str">
        <f>IFERROR(__xludf.DUMMYFUNCTION("""COMPUTED_VALUE"""),"CZE")</f>
        <v>CZE</v>
      </c>
      <c r="G16" s="37" t="str">
        <f>IFERROR(__xludf.DUMMYFUNCTION("""COMPUTED_VALUE"""),"BIKE PRO RACING")</f>
        <v>BIKE PRO RACING</v>
      </c>
      <c r="H16" s="37" t="str">
        <f>IFERROR(__xludf.DUMMYFUNCTION("""COMPUTED_VALUE"""),"F*ŽM")</f>
        <v>F*ŽM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365.0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)"),"10163095174")</f>
        <v>10163095174</v>
      </c>
      <c r="D17" s="37" t="str">
        <f>IFERROR(__xludf.DUMMYFUNCTION("""COMPUTED_VALUE"""),"Ottová")</f>
        <v>Ottová</v>
      </c>
      <c r="E17" s="37" t="str">
        <f>IFERROR(__xludf.DUMMYFUNCTION("""COMPUTED_VALUE"""),"Marie")</f>
        <v>Marie</v>
      </c>
      <c r="F17" s="37" t="str">
        <f>IFERROR(__xludf.DUMMYFUNCTION("""COMPUTED_VALUE"""),"CZE")</f>
        <v>CZE</v>
      </c>
      <c r="G17" s="37" t="str">
        <f>IFERROR(__xludf.DUMMYFUNCTION("""COMPUTED_VALUE"""),"V procesu")</f>
        <v>V procesu</v>
      </c>
      <c r="H17" s="37" t="str">
        <f>IFERROR(__xludf.DUMMYFUNCTION("""COMPUTED_VALUE"""),"F*ŽM")</f>
        <v>F*ŽM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363.0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)"),"10127467983")</f>
        <v>10127467983</v>
      </c>
      <c r="D18" s="37" t="str">
        <f>IFERROR(__xludf.DUMMYFUNCTION("""COMPUTED_VALUE"""),"Brzobohatá")</f>
        <v>Brzobohatá</v>
      </c>
      <c r="E18" s="37" t="str">
        <f>IFERROR(__xludf.DUMMYFUNCTION("""COMPUTED_VALUE"""),"Johanna")</f>
        <v>Johanna</v>
      </c>
      <c r="F18" s="37" t="str">
        <f>IFERROR(__xludf.DUMMYFUNCTION("""COMPUTED_VALUE"""),"CZE")</f>
        <v>CZE</v>
      </c>
      <c r="G18" s="37" t="str">
        <f>IFERROR(__xludf.DUMMYFUNCTION("""COMPUTED_VALUE"""),"TUFO PARDUS Prostějov")</f>
        <v>TUFO PARDUS Prostějov</v>
      </c>
      <c r="H18" s="37" t="str">
        <f>IFERROR(__xludf.DUMMYFUNCTION("""COMPUTED_VALUE"""),"F*ŽM")</f>
        <v>F*ŽM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348.0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)"),"10132764688")</f>
        <v>10132764688</v>
      </c>
      <c r="D19" s="37" t="str">
        <f>IFERROR(__xludf.DUMMYFUNCTION("""COMPUTED_VALUE"""),"Lisa")</f>
        <v>Lisa</v>
      </c>
      <c r="E19" s="41" t="str">
        <f>IFERROR(__xludf.DUMMYFUNCTION("""COMPUTED_VALUE"""),"Bramauer-Averintsev")</f>
        <v>Bramauer-Averintsev</v>
      </c>
      <c r="F19" s="37" t="str">
        <f>IFERROR(__xludf.DUMMYFUNCTION("""COMPUTED_VALUE"""),"AUT")</f>
        <v>AUT</v>
      </c>
      <c r="G19" s="37" t="str">
        <f>IFERROR(__xludf.DUMMYFUNCTION("""COMPUTED_VALUE"""),"ARBÖ ASKÖ RLM Wien")</f>
        <v>ARBÖ ASKÖ RLM Wien</v>
      </c>
      <c r="H19" s="37" t="str">
        <f>IFERROR(__xludf.DUMMYFUNCTION("""COMPUTED_VALUE"""),"F*ŽM")</f>
        <v>F*ŽM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360.0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)"),"10119462554")</f>
        <v>10119462554</v>
      </c>
      <c r="D20" s="37" t="str">
        <f>IFERROR(__xludf.DUMMYFUNCTION("""COMPUTED_VALUE"""),"Šimečková")</f>
        <v>Šimečková</v>
      </c>
      <c r="E20" s="37" t="str">
        <f>IFERROR(__xludf.DUMMYFUNCTION("""COMPUTED_VALUE"""),"Olivie")</f>
        <v>Olivie</v>
      </c>
      <c r="F20" s="37" t="str">
        <f>IFERROR(__xludf.DUMMYFUNCTION("""COMPUTED_VALUE"""),"CZE")</f>
        <v>CZE</v>
      </c>
      <c r="G20" s="37" t="str">
        <f>IFERROR(__xludf.DUMMYFUNCTION("""COMPUTED_VALUE"""),"HSF SYSTEM CYCLING TEAM")</f>
        <v>HSF SYSTEM CYCLING TEAM</v>
      </c>
      <c r="H20" s="37" t="str">
        <f>IFERROR(__xludf.DUMMYFUNCTION("""COMPUTED_VALUE"""),"F*ŽM")</f>
        <v>F*ŽM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351.0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)"),"10173347771")</f>
        <v>10173347771</v>
      </c>
      <c r="D21" s="37" t="str">
        <f>IFERROR(__xludf.DUMMYFUNCTION("""COMPUTED_VALUE"""),"Bobková")</f>
        <v>Bobková</v>
      </c>
      <c r="E21" s="37" t="str">
        <f>IFERROR(__xludf.DUMMYFUNCTION("""COMPUTED_VALUE"""),"Laura")</f>
        <v>Laura</v>
      </c>
      <c r="F21" s="37" t="str">
        <f>IFERROR(__xludf.DUMMYFUNCTION("""COMPUTED_VALUE"""),"CZE")</f>
        <v>CZE</v>
      </c>
      <c r="G21" s="37" t="str">
        <f>IFERROR(__xludf.DUMMYFUNCTION("""COMPUTED_VALUE"""),"BB Com Devcity")</f>
        <v>BB Com Devcity</v>
      </c>
      <c r="H21" s="37" t="str">
        <f>IFERROR(__xludf.DUMMYFUNCTION("""COMPUTED_VALUE"""),"F*ŽM")</f>
        <v>F*ŽM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362.0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)"),"10153124281")</f>
        <v>10153124281</v>
      </c>
      <c r="D22" s="37" t="str">
        <f>IFERROR(__xludf.DUMMYFUNCTION("""COMPUTED_VALUE"""),"Vodicová")</f>
        <v>Vodicová</v>
      </c>
      <c r="E22" s="37" t="str">
        <f>IFERROR(__xludf.DUMMYFUNCTION("""COMPUTED_VALUE"""),"Adéla")</f>
        <v>Adéla</v>
      </c>
      <c r="F22" s="37" t="str">
        <f>IFERROR(__xludf.DUMMYFUNCTION("""COMPUTED_VALUE"""),"CZE")</f>
        <v>CZE</v>
      </c>
      <c r="G22" s="37" t="str">
        <f>IFERROR(__xludf.DUMMYFUNCTION("""COMPUTED_VALUE"""),"TUFO PARDUS Prostějov")</f>
        <v>TUFO PARDUS Prostějov</v>
      </c>
      <c r="H22" s="37" t="str">
        <f>IFERROR(__xludf.DUMMYFUNCTION("""COMPUTED_VALUE"""),"F*ŽM")</f>
        <v>F*ŽM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354.0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)"),"10161132340")</f>
        <v>10161132340</v>
      </c>
      <c r="D23" s="37" t="str">
        <f>IFERROR(__xludf.DUMMYFUNCTION("""COMPUTED_VALUE"""),"JURAŠÍKOVÁ")</f>
        <v>JURAŠÍKOVÁ</v>
      </c>
      <c r="E23" s="37" t="str">
        <f>IFERROR(__xludf.DUMMYFUNCTION("""COMPUTED_VALUE"""),"Silvia")</f>
        <v>Silvia</v>
      </c>
      <c r="F23" s="37" t="str">
        <f>IFERROR(__xludf.DUMMYFUNCTION("""COMPUTED_VALUE"""),"SVK")</f>
        <v>SVK</v>
      </c>
      <c r="G23" s="37" t="str">
        <f>IFERROR(__xludf.DUMMYFUNCTION("""COMPUTED_VALUE"""),"CK EPIC Dohňany")</f>
        <v>CK EPIC Dohňany</v>
      </c>
      <c r="H23" s="37" t="str">
        <f>IFERROR(__xludf.DUMMYFUNCTION("""COMPUTED_VALUE"""),"F*ŽM")</f>
        <v>F*ŽM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355.0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)"),"10127979154")</f>
        <v>10127979154</v>
      </c>
      <c r="D24" s="37" t="str">
        <f>IFERROR(__xludf.DUMMYFUNCTION("""COMPUTED_VALUE"""),"Belicová")</f>
        <v>Belicová</v>
      </c>
      <c r="E24" s="37" t="str">
        <f>IFERROR(__xludf.DUMMYFUNCTION("""COMPUTED_VALUE"""),"Luisa")</f>
        <v>Luisa</v>
      </c>
      <c r="F24" s="37" t="str">
        <f>IFERROR(__xludf.DUMMYFUNCTION("""COMPUTED_VALUE"""),"SVK")</f>
        <v>SVK</v>
      </c>
      <c r="G24" s="37" t="str">
        <f>IFERROR(__xludf.DUMMYFUNCTION("""COMPUTED_VALUE"""),"CK Olympik Trnava")</f>
        <v>CK Olympik Trnava</v>
      </c>
      <c r="H24" s="37" t="str">
        <f>IFERROR(__xludf.DUMMYFUNCTION("""COMPUTED_VALUE"""),"F*ŽM")</f>
        <v>F*ŽM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344.0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)"),"10160315722")</f>
        <v>10160315722</v>
      </c>
      <c r="D25" s="37" t="str">
        <f>IFERROR(__xludf.DUMMYFUNCTION("""COMPUTED_VALUE"""),"Breclavská")</f>
        <v>Breclavská</v>
      </c>
      <c r="E25" s="37" t="str">
        <f>IFERROR(__xludf.DUMMYFUNCTION("""COMPUTED_VALUE"""),"Polina")</f>
        <v>Polina</v>
      </c>
      <c r="F25" s="37" t="str">
        <f>IFERROR(__xludf.DUMMYFUNCTION("""COMPUTED_VALUE"""),"UKR")</f>
        <v>UKR</v>
      </c>
      <c r="G25" s="37" t="str">
        <f>IFERROR(__xludf.DUMMYFUNCTION("""COMPUTED_VALUE"""),"SPORTCOMPLEX Břeclav")</f>
        <v>SPORTCOMPLEX Břeclav</v>
      </c>
      <c r="H25" s="37" t="str">
        <f>IFERROR(__xludf.DUMMYFUNCTION("""COMPUTED_VALUE"""),"F*ŽM")</f>
        <v>F*ŽM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353.0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)"),"10172340284")</f>
        <v>10172340284</v>
      </c>
      <c r="D26" s="37" t="str">
        <f>IFERROR(__xludf.DUMMYFUNCTION("""COMPUTED_VALUE"""),"Volfová")</f>
        <v>Volfová</v>
      </c>
      <c r="E26" s="37" t="str">
        <f>IFERROR(__xludf.DUMMYFUNCTION("""COMPUTED_VALUE"""),"Valentýnka")</f>
        <v>Valentýnka</v>
      </c>
      <c r="F26" s="37" t="str">
        <f>IFERROR(__xludf.DUMMYFUNCTION("""COMPUTED_VALUE"""),"CZE")</f>
        <v>CZE</v>
      </c>
      <c r="G26" s="37" t="str">
        <f>IFERROR(__xludf.DUMMYFUNCTION("""COMPUTED_VALUE"""),"BRILON RACING TEAM MB")</f>
        <v>BRILON RACING TEAM MB</v>
      </c>
      <c r="H26" s="37" t="str">
        <f>IFERROR(__xludf.DUMMYFUNCTION("""COMPUTED_VALUE"""),"F*ŽM")</f>
        <v>F*ŽM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358.0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)"),"10127979760")</f>
        <v>10127979760</v>
      </c>
      <c r="D27" s="37" t="str">
        <f>IFERROR(__xludf.DUMMYFUNCTION("""COMPUTED_VALUE"""),"Kollárová")</f>
        <v>Kollárová</v>
      </c>
      <c r="E27" s="37" t="str">
        <f>IFERROR(__xludf.DUMMYFUNCTION("""COMPUTED_VALUE"""),"Eliška")</f>
        <v>Eliška</v>
      </c>
      <c r="F27" s="37" t="str">
        <f>IFERROR(__xludf.DUMMYFUNCTION("""COMPUTED_VALUE"""),"SVK")</f>
        <v>SVK</v>
      </c>
      <c r="G27" s="37" t="str">
        <f>IFERROR(__xludf.DUMMYFUNCTION("""COMPUTED_VALUE"""),"CK Olympik Trnava")</f>
        <v>CK Olympik Trnava</v>
      </c>
      <c r="H27" s="37" t="str">
        <f>IFERROR(__xludf.DUMMYFUNCTION("""COMPUTED_VALUE"""),"F*ŽM")</f>
        <v>F*ŽM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357.0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)"),"10140810436")</f>
        <v>10140810436</v>
      </c>
      <c r="D28" s="37" t="str">
        <f>IFERROR(__xludf.DUMMYFUNCTION("""COMPUTED_VALUE"""),"Záhorcová")</f>
        <v>Záhorcová</v>
      </c>
      <c r="E28" s="37" t="str">
        <f>IFERROR(__xludf.DUMMYFUNCTION("""COMPUTED_VALUE"""),"Michaela")</f>
        <v>Michaela</v>
      </c>
      <c r="F28" s="37" t="str">
        <f>IFERROR(__xludf.DUMMYFUNCTION("""COMPUTED_VALUE"""),"SVK")</f>
        <v>SVK</v>
      </c>
      <c r="G28" s="37" t="str">
        <f>IFERROR(__xludf.DUMMYFUNCTION("""COMPUTED_VALUE"""),"CK Olympik Trnava")</f>
        <v>CK Olympik Trnava</v>
      </c>
      <c r="H28" s="37" t="str">
        <f>IFERROR(__xludf.DUMMYFUNCTION("""COMPUTED_VALUE"""),"F*ŽM")</f>
        <v>F*ŽM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356.0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)"),"10127979962")</f>
        <v>10127979962</v>
      </c>
      <c r="D29" s="37" t="str">
        <f>IFERROR(__xludf.DUMMYFUNCTION("""COMPUTED_VALUE"""),"Švecová")</f>
        <v>Švecová</v>
      </c>
      <c r="E29" s="37" t="str">
        <f>IFERROR(__xludf.DUMMYFUNCTION("""COMPUTED_VALUE"""),"Hana")</f>
        <v>Hana</v>
      </c>
      <c r="F29" s="37" t="str">
        <f>IFERROR(__xludf.DUMMYFUNCTION("""COMPUTED_VALUE"""),"SVK")</f>
        <v>SVK</v>
      </c>
      <c r="G29" s="37" t="str">
        <f>IFERROR(__xludf.DUMMYFUNCTION("""COMPUTED_VALUE"""),"CK Olympik Trnava")</f>
        <v>CK Olympik Trnava</v>
      </c>
      <c r="H29" s="37" t="str">
        <f>IFERROR(__xludf.DUMMYFUNCTION("""COMPUTED_VALUE"""),"F*ŽM")</f>
        <v>F*ŽM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343.0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)"),"10158753517")</f>
        <v>10158753517</v>
      </c>
      <c r="D30" s="37" t="str">
        <f>IFERROR(__xludf.DUMMYFUNCTION("""COMPUTED_VALUE"""),"Málková")</f>
        <v>Málková</v>
      </c>
      <c r="E30" s="37" t="str">
        <f>IFERROR(__xludf.DUMMYFUNCTION("""COMPUTED_VALUE"""),"Alžběta")</f>
        <v>Alžběta</v>
      </c>
      <c r="F30" s="37" t="str">
        <f>IFERROR(__xludf.DUMMYFUNCTION("""COMPUTED_VALUE"""),"CZE")</f>
        <v>CZE</v>
      </c>
      <c r="G30" s="37" t="str">
        <f>IFERROR(__xludf.DUMMYFUNCTION("""COMPUTED_VALUE"""),"SPORTCOMPLEX Břeclav")</f>
        <v>SPORTCOMPLEX Břeclav</v>
      </c>
      <c r="H30" s="37" t="str">
        <f>IFERROR(__xludf.DUMMYFUNCTION("""COMPUTED_VALUE"""),"F*ŽM")</f>
        <v>F*ŽM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347.0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)"),"10162922493")</f>
        <v>10162922493</v>
      </c>
      <c r="D31" s="37" t="str">
        <f>IFERROR(__xludf.DUMMYFUNCTION("""COMPUTED_VALUE"""),"Semerádová")</f>
        <v>Semerádová</v>
      </c>
      <c r="E31" s="37" t="str">
        <f>IFERROR(__xludf.DUMMYFUNCTION("""COMPUTED_VALUE"""),"Emma")</f>
        <v>Emma</v>
      </c>
      <c r="F31" s="37" t="str">
        <f>IFERROR(__xludf.DUMMYFUNCTION("""COMPUTED_VALUE"""),"CZE")</f>
        <v>CZE</v>
      </c>
      <c r="G31" s="37" t="str">
        <f>IFERROR(__xludf.DUMMYFUNCTION("""COMPUTED_VALUE"""),"Bike Puzzle Team")</f>
        <v>Bike Puzzle Team</v>
      </c>
      <c r="H31" s="37" t="str">
        <f>IFERROR(__xludf.DUMMYFUNCTION("""COMPUTED_VALUE"""),"F*ŽM")</f>
        <v>F*ŽM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345.0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)"),"10158743716")</f>
        <v>10158743716</v>
      </c>
      <c r="D32" s="37" t="str">
        <f>IFERROR(__xludf.DUMMYFUNCTION("""COMPUTED_VALUE"""),"Faltýnková")</f>
        <v>Faltýnková</v>
      </c>
      <c r="E32" s="37" t="str">
        <f>IFERROR(__xludf.DUMMYFUNCTION("""COMPUTED_VALUE"""),"Viktorie")</f>
        <v>Viktorie</v>
      </c>
      <c r="F32" s="37" t="str">
        <f>IFERROR(__xludf.DUMMYFUNCTION("""COMPUTED_VALUE"""),"CZE")</f>
        <v>CZE</v>
      </c>
      <c r="G32" s="37" t="str">
        <f>IFERROR(__xludf.DUMMYFUNCTION("""COMPUTED_VALUE"""),"SPORTCOMPLEX Břeclav")</f>
        <v>SPORTCOMPLEX Břeclav</v>
      </c>
      <c r="H32" s="37" t="str">
        <f>IFERROR(__xludf.DUMMYFUNCTION("""COMPUTED_VALUE"""),"F*ŽM")</f>
        <v>F*ŽM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350.0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)"),"10147761494")</f>
        <v>10147761494</v>
      </c>
      <c r="D33" s="37" t="str">
        <f>IFERROR(__xludf.DUMMYFUNCTION("""COMPUTED_VALUE"""),"Wenschitz")</f>
        <v>Wenschitz</v>
      </c>
      <c r="E33" s="37" t="str">
        <f>IFERROR(__xludf.DUMMYFUNCTION("""COMPUTED_VALUE"""),"Sophie")</f>
        <v>Sophie</v>
      </c>
      <c r="F33" s="37" t="str">
        <f>IFERROR(__xludf.DUMMYFUNCTION("""COMPUTED_VALUE"""),"AUT")</f>
        <v>AUT</v>
      </c>
      <c r="G33" s="37" t="str">
        <f>IFERROR(__xludf.DUMMYFUNCTION("""COMPUTED_VALUE"""),"ARBÖ ASKÖ RLM Wien")</f>
        <v>ARBÖ ASKÖ RLM Wien</v>
      </c>
      <c r="H33" s="37" t="str">
        <f>IFERROR(__xludf.DUMMYFUNCTION("""COMPUTED_VALUE"""),"F*ŽM")</f>
        <v>F*ŽM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366.0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 t="str">
        <f>IFERROR(__xludf.DUMMYFUNCTION("""COMPUTED_VALUE"""),"Langne")</f>
        <v>Langne</v>
      </c>
      <c r="E34" s="37" t="str">
        <f>IFERROR(__xludf.DUMMYFUNCTION("""COMPUTED_VALUE"""),"Frieda")</f>
        <v>Frieda</v>
      </c>
      <c r="F34" s="37" t="str">
        <f>IFERROR(__xludf.DUMMYFUNCTION("""COMPUTED_VALUE"""),"GER")</f>
        <v>GER</v>
      </c>
      <c r="G34" s="37" t="str">
        <f>IFERROR(__xludf.DUMMYFUNCTION("""COMPUTED_VALUE"""),"ARBÖ ASKÖ RLM Wien")</f>
        <v>ARBÖ ASKÖ RLM Wien</v>
      </c>
      <c r="H34" s="37" t="str">
        <f>IFERROR(__xludf.DUMMYFUNCTION("""COMPUTED_VALUE"""),"F*ŽM")</f>
        <v>F*ŽM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342.0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)"),"10158752608")</f>
        <v>10158752608</v>
      </c>
      <c r="D35" s="37" t="str">
        <f>IFERROR(__xludf.DUMMYFUNCTION("""COMPUTED_VALUE"""),"Bartošíková")</f>
        <v>Bartošíková</v>
      </c>
      <c r="E35" s="37" t="str">
        <f>IFERROR(__xludf.DUMMYFUNCTION("""COMPUTED_VALUE"""),"Ema")</f>
        <v>Ema</v>
      </c>
      <c r="F35" s="37" t="str">
        <f>IFERROR(__xludf.DUMMYFUNCTION("""COMPUTED_VALUE"""),"CZE")</f>
        <v>CZE</v>
      </c>
      <c r="G35" s="37" t="str">
        <f>IFERROR(__xludf.DUMMYFUNCTION("""COMPUTED_VALUE"""),"SPORTCOMPLEX Břeclav")</f>
        <v>SPORTCOMPLEX Břeclav</v>
      </c>
      <c r="H35" s="37" t="str">
        <f>IFERROR(__xludf.DUMMYFUNCTION("""COMPUTED_VALUE"""),"F*ŽM")</f>
        <v>F*ŽM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349.0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)"),"10157690052")</f>
        <v>10157690052</v>
      </c>
      <c r="D36" s="37" t="str">
        <f>IFERROR(__xludf.DUMMYFUNCTION("""COMPUTED_VALUE"""),"Wenschitz")</f>
        <v>Wenschitz</v>
      </c>
      <c r="E36" s="37" t="str">
        <f>IFERROR(__xludf.DUMMYFUNCTION("""COMPUTED_VALUE"""),"Thea")</f>
        <v>Thea</v>
      </c>
      <c r="F36" s="37" t="str">
        <f>IFERROR(__xludf.DUMMYFUNCTION("""COMPUTED_VALUE"""),"AUT")</f>
        <v>AUT</v>
      </c>
      <c r="G36" s="37" t="str">
        <f>IFERROR(__xludf.DUMMYFUNCTION("""COMPUTED_VALUE"""),"ARBÖ ASKÖ RLM Wien")</f>
        <v>ARBÖ ASKÖ RLM Wien</v>
      </c>
      <c r="H36" s="37" t="str">
        <f>IFERROR(__xludf.DUMMYFUNCTION("""COMPUTED_VALUE"""),"F*ŽM")</f>
        <v>F*ŽM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341.0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)"),"10169955300")</f>
        <v>10169955300</v>
      </c>
      <c r="D37" s="37" t="str">
        <f>IFERROR(__xludf.DUMMYFUNCTION("""COMPUTED_VALUE"""),"Stiglitzová")</f>
        <v>Stiglitzová</v>
      </c>
      <c r="E37" s="37" t="str">
        <f>IFERROR(__xludf.DUMMYFUNCTION("""COMPUTED_VALUE"""),"Eliška")</f>
        <v>Eliška</v>
      </c>
      <c r="F37" s="37" t="str">
        <f>IFERROR(__xludf.DUMMYFUNCTION("""COMPUTED_VALUE"""),"CZE")</f>
        <v>CZE</v>
      </c>
      <c r="G37" s="37" t="str">
        <f>IFERROR(__xludf.DUMMYFUNCTION("""COMPUTED_VALUE"""),"SPORTCOMPLEX Břeclav")</f>
        <v>SPORTCOMPLEX Břeclav</v>
      </c>
      <c r="H37" s="37" t="str">
        <f>IFERROR(__xludf.DUMMYFUNCTION("""COMPUTED_VALUE"""),"F*ŽM")</f>
        <v>F*ŽM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 t="s">
        <v>37</v>
      </c>
      <c r="B38" s="35">
        <v>346.0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)"),"10169955502")</f>
        <v>10169955502</v>
      </c>
      <c r="D38" s="37" t="str">
        <f>IFERROR(__xludf.DUMMYFUNCTION("""COMPUTED_VALUE"""),"Stiglitzová")</f>
        <v>Stiglitzová</v>
      </c>
      <c r="E38" s="37" t="str">
        <f>IFERROR(__xludf.DUMMYFUNCTION("""COMPUTED_VALUE"""),"Tereza")</f>
        <v>Tereza</v>
      </c>
      <c r="F38" s="37" t="str">
        <f>IFERROR(__xludf.DUMMYFUNCTION("""COMPUTED_VALUE"""),"CZE")</f>
        <v>CZE</v>
      </c>
      <c r="G38" s="37" t="str">
        <f>IFERROR(__xludf.DUMMYFUNCTION("""COMPUTED_VALUE"""),"SPORTCOMPLEX Břeclav")</f>
        <v>SPORTCOMPLEX Břeclav</v>
      </c>
      <c r="H38" s="37" t="str">
        <f>IFERROR(__xludf.DUMMYFUNCTION("""COMPUTED_VALUE"""),"F*ŽM")</f>
        <v>F*ŽM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 t="s">
        <v>37</v>
      </c>
      <c r="B39" s="35">
        <v>361.0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)"),"10113563944")</f>
        <v>10113563944</v>
      </c>
      <c r="D39" s="37" t="str">
        <f>IFERROR(__xludf.DUMMYFUNCTION("""COMPUTED_VALUE"""),"Schneiderová")</f>
        <v>Schneiderová</v>
      </c>
      <c r="E39" s="37" t="str">
        <f>IFERROR(__xludf.DUMMYFUNCTION("""COMPUTED_VALUE"""),"Vanessa")</f>
        <v>Vanessa</v>
      </c>
      <c r="F39" s="37" t="str">
        <f>IFERROR(__xludf.DUMMYFUNCTION("""COMPUTED_VALUE"""),"CZE")</f>
        <v>CZE</v>
      </c>
      <c r="G39" s="37" t="str">
        <f>IFERROR(__xludf.DUMMYFUNCTION("""COMPUTED_VALUE"""),"Open Cycling Academy")</f>
        <v>Open Cycling Academy</v>
      </c>
      <c r="H39" s="37" t="str">
        <f>IFERROR(__xludf.DUMMYFUNCTION("""COMPUTED_VALUE"""),"F*ŽM")</f>
        <v>F*ŽM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/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2.0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131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132</v>
      </c>
      <c r="C9" s="21"/>
      <c r="D9" s="23" t="s">
        <v>18</v>
      </c>
      <c r="E9" s="24">
        <v>80.0</v>
      </c>
      <c r="F9" s="21"/>
      <c r="G9" s="23" t="s">
        <v>21</v>
      </c>
      <c r="H9" s="25">
        <f>IF(OR(E9="",E10=""),"",(E9/(E10*24)))</f>
        <v>44.27363566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>
        <v>0.07528935185185186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118.0</v>
      </c>
      <c r="D12" s="18" t="s">
        <v>25</v>
      </c>
      <c r="E12" s="26">
        <v>107.0</v>
      </c>
      <c r="F12" s="28"/>
      <c r="G12" s="18" t="s">
        <v>26</v>
      </c>
      <c r="H12" s="26">
        <v>77.0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250.0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)"),"10093318933")</f>
        <v>10093318933</v>
      </c>
      <c r="D15" s="37" t="str">
        <f>IFERROR(__xludf.DUMMYFUNCTION("""COMPUTED_VALUE"""),"Janovský")</f>
        <v>Janovský</v>
      </c>
      <c r="E15" s="37" t="str">
        <f>IFERROR(__xludf.DUMMYFUNCTION("""COMPUTED_VALUE"""),"Tomáš")</f>
        <v>Tomáš</v>
      </c>
      <c r="F15" s="37" t="str">
        <f>IFERROR(__xludf.DUMMYFUNCTION("""COMPUTED_VALUE"""),"CZE")</f>
        <v>CZE</v>
      </c>
      <c r="G15" s="37" t="str">
        <f>IFERROR(__xludf.DUMMYFUNCTION("""COMPUTED_VALUE"""),"MAPEI MERIDA KAŇKOVSKÝ")</f>
        <v>MAPEI MERIDA KAŇKOVSKÝ</v>
      </c>
      <c r="H15" s="37" t="str">
        <f>IFERROR(__xludf.DUMMYFUNCTION("""COMPUTED_VALUE"""),"JUN")</f>
        <v>JUN</v>
      </c>
      <c r="I15" s="39">
        <v>0.07528935185185186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463.0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)"),"10121606254")</f>
        <v>10121606254</v>
      </c>
      <c r="D16" s="37" t="str">
        <f>IFERROR(__xludf.DUMMYFUNCTION("""COMPUTED_VALUE"""),"BLOKESZ")</f>
        <v>BLOKESZ</v>
      </c>
      <c r="E16" s="37" t="str">
        <f>IFERROR(__xludf.DUMMYFUNCTION("""COMPUTED_VALUE"""),"HUBERT")</f>
        <v>HUBERT</v>
      </c>
      <c r="F16" s="37" t="str">
        <f>IFERROR(__xludf.DUMMYFUNCTION("""COMPUTED_VALUE"""),"POL")</f>
        <v>POL</v>
      </c>
      <c r="G16" s="37" t="str">
        <f>IFERROR(__xludf.DUMMYFUNCTION("""COMPUTED_VALUE"""),"UKS AVATAR SILSIA TEAM")</f>
        <v>UKS AVATAR SILSIA TEAM</v>
      </c>
      <c r="H16" s="37" t="str">
        <f>IFERROR(__xludf.DUMMYFUNCTION("""COMPUTED_VALUE"""),"JUN")</f>
        <v>JUN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241.0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)"),"10092469676")</f>
        <v>10092469676</v>
      </c>
      <c r="D17" s="37" t="str">
        <f>IFERROR(__xludf.DUMMYFUNCTION("""COMPUTED_VALUE"""),"Čičkarić")</f>
        <v>Čičkarić</v>
      </c>
      <c r="E17" s="37" t="str">
        <f>IFERROR(__xludf.DUMMYFUNCTION("""COMPUTED_VALUE"""),"Marko")</f>
        <v>Marko</v>
      </c>
      <c r="F17" s="37" t="str">
        <f>IFERROR(__xludf.DUMMYFUNCTION("""COMPUTED_VALUE"""),"SRB")</f>
        <v>SRB</v>
      </c>
      <c r="G17" s="37" t="str">
        <f>IFERROR(__xludf.DUMMYFUNCTION("""COMPUTED_VALUE"""),"Lotus Team")</f>
        <v>Lotus Team</v>
      </c>
      <c r="H17" s="37" t="str">
        <f>IFERROR(__xludf.DUMMYFUNCTION("""COMPUTED_VALUE"""),"JUN")</f>
        <v>JUN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288.0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)"),"10082605584")</f>
        <v>10082605584</v>
      </c>
      <c r="D18" s="37" t="str">
        <f>IFERROR(__xludf.DUMMYFUNCTION("""COMPUTED_VALUE"""),"Icha")</f>
        <v>Icha</v>
      </c>
      <c r="E18" s="37" t="str">
        <f>IFERROR(__xludf.DUMMYFUNCTION("""COMPUTED_VALUE"""),"David")</f>
        <v>David</v>
      </c>
      <c r="F18" s="37" t="str">
        <f>IFERROR(__xludf.DUMMYFUNCTION("""COMPUTED_VALUE"""),"CZE")</f>
        <v>CZE</v>
      </c>
      <c r="G18" s="37" t="str">
        <f>IFERROR(__xludf.DUMMYFUNCTION("""COMPUTED_VALUE"""),"Team Dukla Praha")</f>
        <v>Team Dukla Praha</v>
      </c>
      <c r="H18" s="37" t="str">
        <f>IFERROR(__xludf.DUMMYFUNCTION("""COMPUTED_VALUE"""),"JUN")</f>
        <v>JUN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271.0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)"),"10083850016")</f>
        <v>10083850016</v>
      </c>
      <c r="D19" s="37" t="str">
        <f>IFERROR(__xludf.DUMMYFUNCTION("""COMPUTED_VALUE"""),"Michalík")</f>
        <v>Michalík</v>
      </c>
      <c r="E19" s="41" t="str">
        <f>IFERROR(__xludf.DUMMYFUNCTION("""COMPUTED_VALUE"""),"Timotej")</f>
        <v>Timotej</v>
      </c>
      <c r="F19" s="37" t="str">
        <f>IFERROR(__xludf.DUMMYFUNCTION("""COMPUTED_VALUE"""),"SVK")</f>
        <v>SVK</v>
      </c>
      <c r="G19" s="37" t="str">
        <f>IFERROR(__xludf.DUMMYFUNCTION("""COMPUTED_VALUE"""),"Roman Kreuziger Cycling Academy")</f>
        <v>Roman Kreuziger Cycling Academy</v>
      </c>
      <c r="H19" s="37" t="str">
        <f>IFERROR(__xludf.DUMMYFUNCTION("""COMPUTED_VALUE"""),"JUN")</f>
        <v>JUN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222.0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)"),"10046041537")</f>
        <v>10046041537</v>
      </c>
      <c r="D20" s="37" t="str">
        <f>IFERROR(__xludf.DUMMYFUNCTION("""COMPUTED_VALUE"""),"Michal")</f>
        <v>Michal</v>
      </c>
      <c r="E20" s="37" t="str">
        <f>IFERROR(__xludf.DUMMYFUNCTION("""COMPUTED_VALUE"""),"Kacina")</f>
        <v>Kacina</v>
      </c>
      <c r="F20" s="37" t="str">
        <f>IFERROR(__xludf.DUMMYFUNCTION("""COMPUTED_VALUE"""),"SVK")</f>
        <v>SVK</v>
      </c>
      <c r="G20" s="37" t="str">
        <f>IFERROR(__xludf.DUMMYFUNCTION("""COMPUTED_VALUE"""),"CLIMBERG SPORT TEAM")</f>
        <v>CLIMBERG SPORT TEAM</v>
      </c>
      <c r="H20" s="37" t="str">
        <f>IFERROR(__xludf.DUMMYFUNCTION("""COMPUTED_VALUE"""),"JUN")</f>
        <v>JUN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276.0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)"),"10115287312")</f>
        <v>10115287312</v>
      </c>
      <c r="D21" s="37" t="str">
        <f>IFERROR(__xludf.DUMMYFUNCTION("""COMPUTED_VALUE"""),"Rous")</f>
        <v>Rous</v>
      </c>
      <c r="E21" s="37" t="str">
        <f>IFERROR(__xludf.DUMMYFUNCTION("""COMPUTED_VALUE"""),"Martin")</f>
        <v>Martin</v>
      </c>
      <c r="F21" s="37" t="str">
        <f>IFERROR(__xludf.DUMMYFUNCTION("""COMPUTED_VALUE"""),"CZE")</f>
        <v>CZE</v>
      </c>
      <c r="G21" s="37" t="str">
        <f>IFERROR(__xludf.DUMMYFUNCTION("""COMPUTED_VALUE"""),"Roman Kreuziger Cycling Academy")</f>
        <v>Roman Kreuziger Cycling Academy</v>
      </c>
      <c r="H21" s="37" t="str">
        <f>IFERROR(__xludf.DUMMYFUNCTION("""COMPUTED_VALUE"""),"JUN")</f>
        <v>JUN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275.0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)"),"10104433719")</f>
        <v>10104433719</v>
      </c>
      <c r="D22" s="37" t="str">
        <f>IFERROR(__xludf.DUMMYFUNCTION("""COMPUTED_VALUE"""),"Bečvář")</f>
        <v>Bečvář</v>
      </c>
      <c r="E22" s="37" t="str">
        <f>IFERROR(__xludf.DUMMYFUNCTION("""COMPUTED_VALUE"""),"Oliver")</f>
        <v>Oliver</v>
      </c>
      <c r="F22" s="37" t="str">
        <f>IFERROR(__xludf.DUMMYFUNCTION("""COMPUTED_VALUE"""),"CZE")</f>
        <v>CZE</v>
      </c>
      <c r="G22" s="37" t="str">
        <f>IFERROR(__xludf.DUMMYFUNCTION("""COMPUTED_VALUE"""),"Roman Kreuziger Cycling Academy")</f>
        <v>Roman Kreuziger Cycling Academy</v>
      </c>
      <c r="H22" s="37" t="str">
        <f>IFERROR(__xludf.DUMMYFUNCTION("""COMPUTED_VALUE"""),"JUN")</f>
        <v>JUN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212.0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)"),"10093382486")</f>
        <v>10093382486</v>
      </c>
      <c r="D23" s="37" t="str">
        <f>IFERROR(__xludf.DUMMYFUNCTION("""COMPUTED_VALUE"""),"John")</f>
        <v>John</v>
      </c>
      <c r="E23" s="37" t="str">
        <f>IFERROR(__xludf.DUMMYFUNCTION("""COMPUTED_VALUE"""),"Antonín")</f>
        <v>Antonín</v>
      </c>
      <c r="F23" s="37" t="str">
        <f>IFERROR(__xludf.DUMMYFUNCTION("""COMPUTED_VALUE"""),"CZE")</f>
        <v>CZE</v>
      </c>
      <c r="G23" s="37" t="str">
        <f>IFERROR(__xludf.DUMMYFUNCTION("""COMPUTED_VALUE"""),"BRILON RACING TEAM MB")</f>
        <v>BRILON RACING TEAM MB</v>
      </c>
      <c r="H23" s="37" t="str">
        <f>IFERROR(__xludf.DUMMYFUNCTION("""COMPUTED_VALUE"""),"JUN")</f>
        <v>JUN</v>
      </c>
      <c r="I23" s="39">
        <v>0.07555555555555556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243.0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)"),"10108624220")</f>
        <v>10108624220</v>
      </c>
      <c r="D24" s="37" t="str">
        <f>IFERROR(__xludf.DUMMYFUNCTION("""COMPUTED_VALUE"""),"Logins")</f>
        <v>Logins</v>
      </c>
      <c r="E24" s="37" t="str">
        <f>IFERROR(__xludf.DUMMYFUNCTION("""COMPUTED_VALUE"""),"Arvids")</f>
        <v>Arvids</v>
      </c>
      <c r="F24" s="37" t="str">
        <f>IFERROR(__xludf.DUMMYFUNCTION("""COMPUTED_VALUE"""),"LVA")</f>
        <v>LVA</v>
      </c>
      <c r="G24" s="37" t="str">
        <f>IFERROR(__xludf.DUMMYFUNCTION("""COMPUTED_VALUE"""),"Lotus Team")</f>
        <v>Lotus Team</v>
      </c>
      <c r="H24" s="37" t="str">
        <f>IFERROR(__xludf.DUMMYFUNCTION("""COMPUTED_VALUE"""),"JUN")</f>
        <v>JUN</v>
      </c>
      <c r="I24" s="39">
        <v>0.07653935185185186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278.0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)"),"100 980 211 10")</f>
        <v>100 980 211 10</v>
      </c>
      <c r="D25" s="37" t="str">
        <f>IFERROR(__xludf.DUMMYFUNCTION("""COMPUTED_VALUE"""),"Rýbanský")</f>
        <v>Rýbanský</v>
      </c>
      <c r="E25" s="37" t="str">
        <f>IFERROR(__xludf.DUMMYFUNCTION("""COMPUTED_VALUE"""),"Tadeáš")</f>
        <v>Tadeáš</v>
      </c>
      <c r="F25" s="37" t="str">
        <f>IFERROR(__xludf.DUMMYFUNCTION("""COMPUTED_VALUE"""),"SVK")</f>
        <v>SVK</v>
      </c>
      <c r="G25" s="37" t="str">
        <f>IFERROR(__xludf.DUMMYFUNCTION("""COMPUTED_VALUE"""),"Slávia Trenčín")</f>
        <v>Slávia Trenčín</v>
      </c>
      <c r="H25" s="37" t="str">
        <f>IFERROR(__xludf.DUMMYFUNCTION("""COMPUTED_VALUE"""),"JUN")</f>
        <v>JUN</v>
      </c>
      <c r="I25" s="39">
        <v>0.0770138888888889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270.0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)"),"10131605742")</f>
        <v>10131605742</v>
      </c>
      <c r="D26" s="37" t="str">
        <f>IFERROR(__xludf.DUMMYFUNCTION("""COMPUTED_VALUE"""),"Stiblík")</f>
        <v>Stiblík</v>
      </c>
      <c r="E26" s="37" t="str">
        <f>IFERROR(__xludf.DUMMYFUNCTION("""COMPUTED_VALUE"""),"Marek")</f>
        <v>Marek</v>
      </c>
      <c r="F26" s="37" t="str">
        <f>IFERROR(__xludf.DUMMYFUNCTION("""COMPUTED_VALUE"""),"CZE")</f>
        <v>CZE</v>
      </c>
      <c r="G26" s="37" t="str">
        <f>IFERROR(__xludf.DUMMYFUNCTION("""COMPUTED_VALUE"""),"Roman Kreuziger Cycling Academy")</f>
        <v>Roman Kreuziger Cycling Academy</v>
      </c>
      <c r="H26" s="37" t="str">
        <f>IFERROR(__xludf.DUMMYFUNCTION("""COMPUTED_VALUE"""),"JUN")</f>
        <v>JUN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269.0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)"),"10086845696")</f>
        <v>10086845696</v>
      </c>
      <c r="D27" s="37" t="str">
        <f>IFERROR(__xludf.DUMMYFUNCTION("""COMPUTED_VALUE"""),"Kuběna")</f>
        <v>Kuběna</v>
      </c>
      <c r="E27" s="37" t="str">
        <f>IFERROR(__xludf.DUMMYFUNCTION("""COMPUTED_VALUE"""),"Daniel")</f>
        <v>Daniel</v>
      </c>
      <c r="F27" s="37" t="str">
        <f>IFERROR(__xludf.DUMMYFUNCTION("""COMPUTED_VALUE"""),"CZE")</f>
        <v>CZE</v>
      </c>
      <c r="G27" s="37" t="str">
        <f>IFERROR(__xludf.DUMMYFUNCTION("""COMPUTED_VALUE"""),"Roman Kreuziger Cycling Academy")</f>
        <v>Roman Kreuziger Cycling Academy</v>
      </c>
      <c r="H27" s="37" t="str">
        <f>IFERROR(__xludf.DUMMYFUNCTION("""COMPUTED_VALUE"""),"JUN")</f>
        <v>JUN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287.0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)"),"10140825590")</f>
        <v>10140825590</v>
      </c>
      <c r="D28" s="37" t="str">
        <f>IFERROR(__xludf.DUMMYFUNCTION("""COMPUTED_VALUE"""),"Zaňka")</f>
        <v>Zaňka</v>
      </c>
      <c r="E28" s="37" t="str">
        <f>IFERROR(__xludf.DUMMYFUNCTION("""COMPUTED_VALUE"""),"Jakub")</f>
        <v>Jakub</v>
      </c>
      <c r="F28" s="37" t="str">
        <f>IFERROR(__xludf.DUMMYFUNCTION("""COMPUTED_VALUE"""),"CZE")</f>
        <v>CZE</v>
      </c>
      <c r="G28" s="37" t="str">
        <f>IFERROR(__xludf.DUMMYFUNCTION("""COMPUTED_VALUE"""),"Team Dukla Praha")</f>
        <v>Team Dukla Praha</v>
      </c>
      <c r="H28" s="37" t="str">
        <f>IFERROR(__xludf.DUMMYFUNCTION("""COMPUTED_VALUE"""),"JUN")</f>
        <v>JUN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472.0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)"),"10066167926")</f>
        <v>10066167926</v>
      </c>
      <c r="D29" s="37" t="str">
        <f>IFERROR(__xludf.DUMMYFUNCTION("""COMPUTED_VALUE"""),"Barica")</f>
        <v>Barica</v>
      </c>
      <c r="E29" s="37" t="str">
        <f>IFERROR(__xludf.DUMMYFUNCTION("""COMPUTED_VALUE"""),"Mathias")</f>
        <v>Mathias</v>
      </c>
      <c r="F29" s="37" t="str">
        <f>IFERROR(__xludf.DUMMYFUNCTION("""COMPUTED_VALUE"""),"SVK")</f>
        <v>SVK</v>
      </c>
      <c r="G29" s="37" t="str">
        <f>IFERROR(__xludf.DUMMYFUNCTION("""COMPUTED_VALUE"""),"Roman Kreuziger Cycling Academy")</f>
        <v>Roman Kreuziger Cycling Academy</v>
      </c>
      <c r="H29" s="37" t="str">
        <f>IFERROR(__xludf.DUMMYFUNCTION("""COMPUTED_VALUE"""),"JUN")</f>
        <v>JUN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220.0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)"),"10080696708")</f>
        <v>10080696708</v>
      </c>
      <c r="D30" s="37" t="str">
        <f>IFERROR(__xludf.DUMMYFUNCTION("""COMPUTED_VALUE"""),"KUNDRA")</f>
        <v>KUNDRA</v>
      </c>
      <c r="E30" s="37" t="str">
        <f>IFERROR(__xludf.DUMMYFUNCTION("""COMPUTED_VALUE"""),"Aleš")</f>
        <v>Aleš</v>
      </c>
      <c r="F30" s="37" t="str">
        <f>IFERROR(__xludf.DUMMYFUNCTION("""COMPUTED_VALUE"""),"SVK")</f>
        <v>SVK</v>
      </c>
      <c r="G30" s="37" t="str">
        <f>IFERROR(__xludf.DUMMYFUNCTION("""COMPUTED_VALUE"""),"CK EPIC Dohňany")</f>
        <v>CK EPIC Dohňany</v>
      </c>
      <c r="H30" s="37" t="str">
        <f>IFERROR(__xludf.DUMMYFUNCTION("""COMPUTED_VALUE"""),"JUN")</f>
        <v>JUN</v>
      </c>
      <c r="I30" s="39">
        <v>0.07789351851851851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462.0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)"),"10100919588")</f>
        <v>10100919588</v>
      </c>
      <c r="D31" s="37" t="str">
        <f>IFERROR(__xludf.DUMMYFUNCTION("""COMPUTED_VALUE"""),"GÓRKA")</f>
        <v>GÓRKA</v>
      </c>
      <c r="E31" s="37" t="str">
        <f>IFERROR(__xludf.DUMMYFUNCTION("""COMPUTED_VALUE"""),"IGOR")</f>
        <v>IGOR</v>
      </c>
      <c r="F31" s="37" t="str">
        <f>IFERROR(__xludf.DUMMYFUNCTION("""COMPUTED_VALUE"""),"POL")</f>
        <v>POL</v>
      </c>
      <c r="G31" s="37" t="str">
        <f>IFERROR(__xludf.DUMMYFUNCTION("""COMPUTED_VALUE"""),"UKS AVATAR SILSIA TEAM")</f>
        <v>UKS AVATAR SILSIA TEAM</v>
      </c>
      <c r="H31" s="37" t="str">
        <f>IFERROR(__xludf.DUMMYFUNCTION("""COMPUTED_VALUE"""),"JUN")</f>
        <v>JUN</v>
      </c>
      <c r="I31" s="39">
        <v>0.07829861111111111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470.0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)"),"101 070 587 79")</f>
        <v>101 070 587 79</v>
      </c>
      <c r="D32" s="37" t="str">
        <f>IFERROR(__xludf.DUMMYFUNCTION("""COMPUTED_VALUE"""),"Baumann")</f>
        <v>Baumann</v>
      </c>
      <c r="E32" s="37" t="str">
        <f>IFERROR(__xludf.DUMMYFUNCTION("""COMPUTED_VALUE"""),"Elias")</f>
        <v>Elias</v>
      </c>
      <c r="F32" s="37" t="str">
        <f>IFERROR(__xludf.DUMMYFUNCTION("""COMPUTED_VALUE"""),"AUT")</f>
        <v>AUT</v>
      </c>
      <c r="G32" s="37" t="str">
        <f>IFERROR(__xludf.DUMMYFUNCTION("""COMPUTED_VALUE"""),"velo.crew POPAFLO")</f>
        <v>velo.crew POPAFLO</v>
      </c>
      <c r="H32" s="37" t="str">
        <f>IFERROR(__xludf.DUMMYFUNCTION("""COMPUTED_VALUE"""),"JUN")</f>
        <v>JUN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274.0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)"),"10120244719")</f>
        <v>10120244719</v>
      </c>
      <c r="D33" s="37" t="str">
        <f>IFERROR(__xludf.DUMMYFUNCTION("""COMPUTED_VALUE"""),"Birhanzl")</f>
        <v>Birhanzl</v>
      </c>
      <c r="E33" s="37" t="str">
        <f>IFERROR(__xludf.DUMMYFUNCTION("""COMPUTED_VALUE"""),"Roman")</f>
        <v>Roman</v>
      </c>
      <c r="F33" s="37" t="str">
        <f>IFERROR(__xludf.DUMMYFUNCTION("""COMPUTED_VALUE"""),"CZE")</f>
        <v>CZE</v>
      </c>
      <c r="G33" s="37" t="str">
        <f>IFERROR(__xludf.DUMMYFUNCTION("""COMPUTED_VALUE"""),"Roman Kreuziger Cycling Academy")</f>
        <v>Roman Kreuziger Cycling Academy</v>
      </c>
      <c r="H33" s="37" t="str">
        <f>IFERROR(__xludf.DUMMYFUNCTION("""COMPUTED_VALUE"""),"JUN")</f>
        <v>JUN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282.0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)"),"10 083 214 967")</f>
        <v>10 083 214 967</v>
      </c>
      <c r="D34" s="37" t="str">
        <f>IFERROR(__xludf.DUMMYFUNCTION("""COMPUTED_VALUE"""),"Sobota")</f>
        <v>Sobota</v>
      </c>
      <c r="E34" s="37" t="str">
        <f>IFERROR(__xludf.DUMMYFUNCTION("""COMPUTED_VALUE"""),"Ondrej")</f>
        <v>Ondrej</v>
      </c>
      <c r="F34" s="37" t="str">
        <f>IFERROR(__xludf.DUMMYFUNCTION("""COMPUTED_VALUE"""),"SVK")</f>
        <v>SVK</v>
      </c>
      <c r="G34" s="37" t="str">
        <f>IFERROR(__xludf.DUMMYFUNCTION("""COMPUTED_VALUE"""),"Slávia Trenčín")</f>
        <v>Slávia Trenčín</v>
      </c>
      <c r="H34" s="37" t="str">
        <f>IFERROR(__xludf.DUMMYFUNCTION("""COMPUTED_VALUE"""),"JUN")</f>
        <v>JUN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290.0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)"),"10047326280")</f>
        <v>10047326280</v>
      </c>
      <c r="D35" s="37" t="str">
        <f>IFERROR(__xludf.DUMMYFUNCTION("""COMPUTED_VALUE"""),"Bečka")</f>
        <v>Bečka</v>
      </c>
      <c r="E35" s="37" t="str">
        <f>IFERROR(__xludf.DUMMYFUNCTION("""COMPUTED_VALUE"""),"Vojtěch")</f>
        <v>Vojtěch</v>
      </c>
      <c r="F35" s="37" t="str">
        <f>IFERROR(__xludf.DUMMYFUNCTION("""COMPUTED_VALUE"""),"CZE")</f>
        <v>CZE</v>
      </c>
      <c r="G35" s="37" t="str">
        <f>IFERROR(__xludf.DUMMYFUNCTION("""COMPUTED_VALUE"""),"Team Dukla Praha")</f>
        <v>Team Dukla Praha</v>
      </c>
      <c r="H35" s="37" t="str">
        <f>IFERROR(__xludf.DUMMYFUNCTION("""COMPUTED_VALUE"""),"JUN")</f>
        <v>JUN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298.0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)"),"10084906407")</f>
        <v>10084906407</v>
      </c>
      <c r="D36" s="37" t="str">
        <f>IFERROR(__xludf.DUMMYFUNCTION("""COMPUTED_VALUE"""),"Podhaiský")</f>
        <v>Podhaiský</v>
      </c>
      <c r="E36" s="37" t="str">
        <f>IFERROR(__xludf.DUMMYFUNCTION("""COMPUTED_VALUE"""),"Ondřej")</f>
        <v>Ondřej</v>
      </c>
      <c r="F36" s="37" t="str">
        <f>IFERROR(__xludf.DUMMYFUNCTION("""COMPUTED_VALUE"""),"CZE")</f>
        <v>CZE</v>
      </c>
      <c r="G36" s="37" t="str">
        <f>IFERROR(__xludf.DUMMYFUNCTION("""COMPUTED_VALUE"""),"TJ AUTO ŠKODA Mladá Boleslav")</f>
        <v>TJ AUTO ŠKODA Mladá Boleslav</v>
      </c>
      <c r="H36" s="37" t="str">
        <f>IFERROR(__xludf.DUMMYFUNCTION("""COMPUTED_VALUE"""),"JUN")</f>
        <v>JUN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292.0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)"),"10144851902")</f>
        <v>10144851902</v>
      </c>
      <c r="D37" s="37" t="str">
        <f>IFERROR(__xludf.DUMMYFUNCTION("""COMPUTED_VALUE"""),"Schlegel")</f>
        <v>Schlegel</v>
      </c>
      <c r="E37" s="37" t="str">
        <f>IFERROR(__xludf.DUMMYFUNCTION("""COMPUTED_VALUE"""),"David")</f>
        <v>David</v>
      </c>
      <c r="F37" s="37" t="str">
        <f>IFERROR(__xludf.DUMMYFUNCTION("""COMPUTED_VALUE"""),"CZE")</f>
        <v>CZE</v>
      </c>
      <c r="G37" s="37" t="str">
        <f>IFERROR(__xludf.DUMMYFUNCTION("""COMPUTED_VALUE"""),"Team Dukla Praha")</f>
        <v>Team Dukla Praha</v>
      </c>
      <c r="H37" s="37" t="str">
        <f>IFERROR(__xludf.DUMMYFUNCTION("""COMPUTED_VALUE"""),"JUN")</f>
        <v>JUN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264.0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)"),"10084664614")</f>
        <v>10084664614</v>
      </c>
      <c r="D38" s="37" t="str">
        <f>IFERROR(__xludf.DUMMYFUNCTION("""COMPUTED_VALUE"""),"Blahout")</f>
        <v>Blahout</v>
      </c>
      <c r="E38" s="37" t="str">
        <f>IFERROR(__xludf.DUMMYFUNCTION("""COMPUTED_VALUE"""),"Jonáš")</f>
        <v>Jonáš</v>
      </c>
      <c r="F38" s="37" t="str">
        <f>IFERROR(__xludf.DUMMYFUNCTION("""COMPUTED_VALUE"""),"CZE")</f>
        <v>CZE</v>
      </c>
      <c r="G38" s="37" t="str">
        <f>IFERROR(__xludf.DUMMYFUNCTION("""COMPUTED_VALUE"""),"REXONIX KOVO PRAHA")</f>
        <v>REXONIX KOVO PRAHA</v>
      </c>
      <c r="H38" s="37" t="str">
        <f>IFERROR(__xludf.DUMMYFUNCTION("""COMPUTED_VALUE"""),"JUN")</f>
        <v>JUN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285.0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)"),"10128127987")</f>
        <v>10128127987</v>
      </c>
      <c r="D39" s="37" t="str">
        <f>IFERROR(__xludf.DUMMYFUNCTION("""COMPUTED_VALUE"""),"Lapčík")</f>
        <v>Lapčík</v>
      </c>
      <c r="E39" s="37" t="str">
        <f>IFERROR(__xludf.DUMMYFUNCTION("""COMPUTED_VALUE"""),"Ondřej")</f>
        <v>Ondřej</v>
      </c>
      <c r="F39" s="37" t="str">
        <f>IFERROR(__xludf.DUMMYFUNCTION("""COMPUTED_VALUE"""),"CZE")</f>
        <v>CZE</v>
      </c>
      <c r="G39" s="37" t="str">
        <f>IFERROR(__xludf.DUMMYFUNCTION("""COMPUTED_VALUE"""),"Superior Team Jeseník")</f>
        <v>Superior Team Jeseník</v>
      </c>
      <c r="H39" s="37" t="str">
        <f>IFERROR(__xludf.DUMMYFUNCTION("""COMPUTED_VALUE"""),"JUN")</f>
        <v>JUN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>
        <v>26.0</v>
      </c>
      <c r="B40" s="35">
        <v>280.0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)"),"10 085 077 468")</f>
        <v>10 085 077 468</v>
      </c>
      <c r="D40" s="37" t="str">
        <f>IFERROR(__xludf.DUMMYFUNCTION("""COMPUTED_VALUE"""),"Barenyí")</f>
        <v>Barenyí</v>
      </c>
      <c r="E40" s="37" t="str">
        <f>IFERROR(__xludf.DUMMYFUNCTION("""COMPUTED_VALUE"""),"Marco")</f>
        <v>Marco</v>
      </c>
      <c r="F40" s="37" t="str">
        <f>IFERROR(__xludf.DUMMYFUNCTION("""COMPUTED_VALUE"""),"SVK")</f>
        <v>SVK</v>
      </c>
      <c r="G40" s="37" t="str">
        <f>IFERROR(__xludf.DUMMYFUNCTION("""COMPUTED_VALUE"""),"Slávia Trenčín")</f>
        <v>Slávia Trenčín</v>
      </c>
      <c r="H40" s="37" t="str">
        <f>IFERROR(__xludf.DUMMYFUNCTION("""COMPUTED_VALUE"""),"JUN")</f>
        <v>JUN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>
        <v>27.0</v>
      </c>
      <c r="B41" s="35">
        <v>255.0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)"),"10082605786")</f>
        <v>10082605786</v>
      </c>
      <c r="D41" s="37" t="str">
        <f>IFERROR(__xludf.DUMMYFUNCTION("""COMPUTED_VALUE"""),"Icha")</f>
        <v>Icha</v>
      </c>
      <c r="E41" s="37" t="str">
        <f>IFERROR(__xludf.DUMMYFUNCTION("""COMPUTED_VALUE"""),"Martin")</f>
        <v>Martin</v>
      </c>
      <c r="F41" s="37" t="str">
        <f>IFERROR(__xludf.DUMMYFUNCTION("""COMPUTED_VALUE"""),"CZE")</f>
        <v>CZE</v>
      </c>
      <c r="G41" s="37" t="str">
        <f>IFERROR(__xludf.DUMMYFUNCTION("""COMPUTED_VALUE"""),"MAPEI MERIDA KAŇKOVSKÝ")</f>
        <v>MAPEI MERIDA KAŇKOVSKÝ</v>
      </c>
      <c r="H41" s="37" t="str">
        <f>IFERROR(__xludf.DUMMYFUNCTION("""COMPUTED_VALUE"""),"JUN")</f>
        <v>JUN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>
        <v>28.0</v>
      </c>
      <c r="B42" s="35">
        <v>458.0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)"),"10095668959")</f>
        <v>10095668959</v>
      </c>
      <c r="D42" s="37" t="str">
        <f>IFERROR(__xludf.DUMMYFUNCTION("""COMPUTED_VALUE"""),"Kaniščev")</f>
        <v>Kaniščev</v>
      </c>
      <c r="E42" s="37" t="str">
        <f>IFERROR(__xludf.DUMMYFUNCTION("""COMPUTED_VALUE"""),"Alexandr")</f>
        <v>Alexandr</v>
      </c>
      <c r="F42" s="37" t="str">
        <f>IFERROR(__xludf.DUMMYFUNCTION("""COMPUTED_VALUE"""),"CZE")</f>
        <v>CZE</v>
      </c>
      <c r="G42" s="37" t="str">
        <f>IFERROR(__xludf.DUMMYFUNCTION("""COMPUTED_VALUE"""),"TUFO PARDUS Prostějov")</f>
        <v>TUFO PARDUS Prostějov</v>
      </c>
      <c r="H42" s="37" t="str">
        <f>IFERROR(__xludf.DUMMYFUNCTION("""COMPUTED_VALUE"""),"JUN")</f>
        <v>JUN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>
        <v>29.0</v>
      </c>
      <c r="B43" s="35">
        <v>263.0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)"),"10047465013")</f>
        <v>10047465013</v>
      </c>
      <c r="D43" s="37" t="str">
        <f>IFERROR(__xludf.DUMMYFUNCTION("""COMPUTED_VALUE"""),"Purnoch")</f>
        <v>Purnoch</v>
      </c>
      <c r="E43" s="37" t="str">
        <f>IFERROR(__xludf.DUMMYFUNCTION("""COMPUTED_VALUE"""),"Jan")</f>
        <v>Jan</v>
      </c>
      <c r="F43" s="37" t="str">
        <f>IFERROR(__xludf.DUMMYFUNCTION("""COMPUTED_VALUE"""),"CZE")</f>
        <v>CZE</v>
      </c>
      <c r="G43" s="37" t="str">
        <f>IFERROR(__xludf.DUMMYFUNCTION("""COMPUTED_VALUE"""),"REXONIX KOVO PRAHA")</f>
        <v>REXONIX KOVO PRAHA</v>
      </c>
      <c r="H43" s="37" t="str">
        <f>IFERROR(__xludf.DUMMYFUNCTION("""COMPUTED_VALUE"""),"JUN")</f>
        <v>JUN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>
        <v>30.0</v>
      </c>
      <c r="B44" s="35">
        <v>205.0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)"),"10093194449")</f>
        <v>10093194449</v>
      </c>
      <c r="D44" s="37" t="str">
        <f>IFERROR(__xludf.DUMMYFUNCTION("""COMPUTED_VALUE"""),"Kotačka")</f>
        <v>Kotačka</v>
      </c>
      <c r="E44" s="37" t="str">
        <f>IFERROR(__xludf.DUMMYFUNCTION("""COMPUTED_VALUE"""),"Robin")</f>
        <v>Robin</v>
      </c>
      <c r="F44" s="37" t="str">
        <f>IFERROR(__xludf.DUMMYFUNCTION("""COMPUTED_VALUE"""),"CZE")</f>
        <v>CZE</v>
      </c>
      <c r="G44" s="37" t="str">
        <f>IFERROR(__xludf.DUMMYFUNCTION("""COMPUTED_VALUE"""),"BB Com Devcity")</f>
        <v>BB Com Devcity</v>
      </c>
      <c r="H44" s="37" t="str">
        <f>IFERROR(__xludf.DUMMYFUNCTION("""COMPUTED_VALUE"""),"JUN")</f>
        <v>JUN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>
        <v>31.0</v>
      </c>
      <c r="B45" s="35">
        <v>223.0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)"),"10935555601")</f>
        <v>10935555601</v>
      </c>
      <c r="D45" s="37" t="str">
        <f>IFERROR(__xludf.DUMMYFUNCTION("""COMPUTED_VALUE"""),"MADAJ")</f>
        <v>MADAJ</v>
      </c>
      <c r="E45" s="37" t="str">
        <f>IFERROR(__xludf.DUMMYFUNCTION("""COMPUTED_VALUE"""),"Šimon")</f>
        <v>Šimon</v>
      </c>
      <c r="F45" s="37" t="str">
        <f>IFERROR(__xludf.DUMMYFUNCTION("""COMPUTED_VALUE"""),"SVK")</f>
        <v>SVK</v>
      </c>
      <c r="G45" s="37" t="str">
        <f>IFERROR(__xludf.DUMMYFUNCTION("""COMPUTED_VALUE"""),"CyS - Akadémia Petra Sagana")</f>
        <v>CyS - Akadémia Petra Sagana</v>
      </c>
      <c r="H45" s="37" t="str">
        <f>IFERROR(__xludf.DUMMYFUNCTION("""COMPUTED_VALUE"""),"JUN")</f>
        <v>JUN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>
        <v>32.0</v>
      </c>
      <c r="B46" s="35">
        <v>267.0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)"),"10109378901")</f>
        <v>10109378901</v>
      </c>
      <c r="D46" s="37" t="str">
        <f>IFERROR(__xludf.DUMMYFUNCTION("""COMPUTED_VALUE"""),"Jasenský")</f>
        <v>Jasenský</v>
      </c>
      <c r="E46" s="37" t="str">
        <f>IFERROR(__xludf.DUMMYFUNCTION("""COMPUTED_VALUE"""),"Jakub")</f>
        <v>Jakub</v>
      </c>
      <c r="F46" s="37" t="str">
        <f>IFERROR(__xludf.DUMMYFUNCTION("""COMPUTED_VALUE"""),"CZE")</f>
        <v>CZE</v>
      </c>
      <c r="G46" s="37" t="str">
        <f>IFERROR(__xludf.DUMMYFUNCTION("""COMPUTED_VALUE"""),"REXONIX KOVO PRAHA")</f>
        <v>REXONIX KOVO PRAHA</v>
      </c>
      <c r="H46" s="37" t="str">
        <f>IFERROR(__xludf.DUMMYFUNCTION("""COMPUTED_VALUE"""),"JUN")</f>
        <v>JUN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>
        <v>33.0</v>
      </c>
      <c r="B47" s="35">
        <v>268.0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)"),"10146622150")</f>
        <v>10146622150</v>
      </c>
      <c r="D47" s="37" t="str">
        <f>IFERROR(__xludf.DUMMYFUNCTION("""COMPUTED_VALUE"""),"Lazur")</f>
        <v>Lazur</v>
      </c>
      <c r="E47" s="37" t="str">
        <f>IFERROR(__xludf.DUMMYFUNCTION("""COMPUTED_VALUE"""),"Šimon")</f>
        <v>Šimon</v>
      </c>
      <c r="F47" s="37" t="str">
        <f>IFERROR(__xludf.DUMMYFUNCTION("""COMPUTED_VALUE"""),"CZE")</f>
        <v>CZE</v>
      </c>
      <c r="G47" s="37" t="str">
        <f>IFERROR(__xludf.DUMMYFUNCTION("""COMPUTED_VALUE"""),"REXONIX KOVO PRAHA")</f>
        <v>REXONIX KOVO PRAHA</v>
      </c>
      <c r="H47" s="37" t="str">
        <f>IFERROR(__xludf.DUMMYFUNCTION("""COMPUTED_VALUE"""),"JUN")</f>
        <v>JUN</v>
      </c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>
        <v>34.0</v>
      </c>
      <c r="B48" s="35">
        <v>244.0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)"),"10106990172")</f>
        <v>10106990172</v>
      </c>
      <c r="D48" s="37" t="str">
        <f>IFERROR(__xludf.DUMMYFUNCTION("""COMPUTED_VALUE"""),"Dimitrov")</f>
        <v>Dimitrov</v>
      </c>
      <c r="E48" s="37" t="str">
        <f>IFERROR(__xludf.DUMMYFUNCTION("""COMPUTED_VALUE"""),"Pavel")</f>
        <v>Pavel</v>
      </c>
      <c r="F48" s="37" t="str">
        <f>IFERROR(__xludf.DUMMYFUNCTION("""COMPUTED_VALUE"""),"BUL")</f>
        <v>BUL</v>
      </c>
      <c r="G48" s="37" t="str">
        <f>IFERROR(__xludf.DUMMYFUNCTION("""COMPUTED_VALUE"""),"Lotus Team")</f>
        <v>Lotus Team</v>
      </c>
      <c r="H48" s="37" t="str">
        <f>IFERROR(__xludf.DUMMYFUNCTION("""COMPUTED_VALUE"""),"JUN")</f>
        <v>JUN</v>
      </c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>
        <v>35.0</v>
      </c>
      <c r="B49" s="35">
        <v>294.0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)"),"10114195858")</f>
        <v>10114195858</v>
      </c>
      <c r="D49" s="37" t="str">
        <f>IFERROR(__xludf.DUMMYFUNCTION("""COMPUTED_VALUE"""),"Bucháček")</f>
        <v>Bucháček</v>
      </c>
      <c r="E49" s="37" t="str">
        <f>IFERROR(__xludf.DUMMYFUNCTION("""COMPUTED_VALUE"""),"Oliver Trent")</f>
        <v>Oliver Trent</v>
      </c>
      <c r="F49" s="37" t="str">
        <f>IFERROR(__xludf.DUMMYFUNCTION("""COMPUTED_VALUE"""),"CZE")</f>
        <v>CZE</v>
      </c>
      <c r="G49" s="37" t="str">
        <f>IFERROR(__xludf.DUMMYFUNCTION("""COMPUTED_VALUE"""),"Team Forman Energetic")</f>
        <v>Team Forman Energetic</v>
      </c>
      <c r="H49" s="37" t="str">
        <f>IFERROR(__xludf.DUMMYFUNCTION("""COMPUTED_VALUE"""),"JUN")</f>
        <v>JUN</v>
      </c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>
        <v>36.0</v>
      </c>
      <c r="B50" s="35">
        <v>216.0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)"),"10117894386")</f>
        <v>10117894386</v>
      </c>
      <c r="D50" s="37" t="str">
        <f>IFERROR(__xludf.DUMMYFUNCTION("""COMPUTED_VALUE"""),"Lang")</f>
        <v>Lang</v>
      </c>
      <c r="E50" s="37" t="str">
        <f>IFERROR(__xludf.DUMMYFUNCTION("""COMPUTED_VALUE"""),"Robert")</f>
        <v>Robert</v>
      </c>
      <c r="F50" s="37" t="str">
        <f>IFERROR(__xludf.DUMMYFUNCTION("""COMPUTED_VALUE"""),"CZE")</f>
        <v>CZE</v>
      </c>
      <c r="G50" s="37" t="str">
        <f>IFERROR(__xludf.DUMMYFUNCTION("""COMPUTED_VALUE"""),"BRILON RACING TEAM MB")</f>
        <v>BRILON RACING TEAM MB</v>
      </c>
      <c r="H50" s="37" t="str">
        <f>IFERROR(__xludf.DUMMYFUNCTION("""COMPUTED_VALUE"""),"JUN")</f>
        <v>JUN</v>
      </c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>
        <v>37.0</v>
      </c>
      <c r="B51" s="45">
        <v>452.0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)"),"10112435916")</f>
        <v>10112435916</v>
      </c>
      <c r="D51" s="37" t="str">
        <f>IFERROR(__xludf.DUMMYFUNCTION("""COMPUTED_VALUE"""),"VAŠINA")</f>
        <v>VAŠINA</v>
      </c>
      <c r="E51" s="37" t="str">
        <f>IFERROR(__xludf.DUMMYFUNCTION("""COMPUTED_VALUE"""),"Matěj")</f>
        <v>Matěj</v>
      </c>
      <c r="F51" s="37" t="str">
        <f>IFERROR(__xludf.DUMMYFUNCTION("""COMPUTED_VALUE"""),"CZE")</f>
        <v>CZE</v>
      </c>
      <c r="G51" s="37" t="str">
        <f>IFERROR(__xludf.DUMMYFUNCTION("""COMPUTED_VALUE"""),"TJ FAVORIT BRNO")</f>
        <v>TJ FAVORIT BRNO</v>
      </c>
      <c r="H51" s="37" t="str">
        <f>IFERROR(__xludf.DUMMYFUNCTION("""COMPUTED_VALUE"""),"JUN")</f>
        <v>JUN</v>
      </c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>
        <v>38.0</v>
      </c>
      <c r="B52" s="45">
        <v>296.0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)"),"10047252017")</f>
        <v>10047252017</v>
      </c>
      <c r="D52" s="44" t="str">
        <f>IFERROR(__xludf.DUMMYFUNCTION("""COMPUTED_VALUE"""),"Liška")</f>
        <v>Liška</v>
      </c>
      <c r="E52" s="44" t="str">
        <f>IFERROR(__xludf.DUMMYFUNCTION("""COMPUTED_VALUE"""),"David")</f>
        <v>David</v>
      </c>
      <c r="F52" s="44" t="str">
        <f>IFERROR(__xludf.DUMMYFUNCTION("""COMPUTED_VALUE"""),"CZE")</f>
        <v>CZE</v>
      </c>
      <c r="G52" s="44" t="str">
        <f>IFERROR(__xludf.DUMMYFUNCTION("""COMPUTED_VALUE"""),"Team Forman Energetic")</f>
        <v>Team Forman Energetic</v>
      </c>
      <c r="H52" s="44" t="str">
        <f>IFERROR(__xludf.DUMMYFUNCTION("""COMPUTED_VALUE"""),"JUN")</f>
        <v>JUN</v>
      </c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>
        <v>39.0</v>
      </c>
      <c r="B53" s="45">
        <v>224.0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)"),"10066169643")</f>
        <v>10066169643</v>
      </c>
      <c r="D53" s="44" t="str">
        <f>IFERROR(__xludf.DUMMYFUNCTION("""COMPUTED_VALUE"""),"ONDÁK")</f>
        <v>ONDÁK</v>
      </c>
      <c r="E53" s="44" t="str">
        <f>IFERROR(__xludf.DUMMYFUNCTION("""COMPUTED_VALUE"""),"Richard")</f>
        <v>Richard</v>
      </c>
      <c r="F53" s="44" t="str">
        <f>IFERROR(__xludf.DUMMYFUNCTION("""COMPUTED_VALUE"""),"SVK")</f>
        <v>SVK</v>
      </c>
      <c r="G53" s="44" t="str">
        <f>IFERROR(__xludf.DUMMYFUNCTION("""COMPUTED_VALUE"""),"CyS - Akadémia Petra Sagana")</f>
        <v>CyS - Akadémia Petra Sagana</v>
      </c>
      <c r="H53" s="44" t="str">
        <f>IFERROR(__xludf.DUMMYFUNCTION("""COMPUTED_VALUE"""),"JUN")</f>
        <v>JUN</v>
      </c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>
        <v>40.0</v>
      </c>
      <c r="B54" s="45">
        <v>209.0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)"),"10140779619")</f>
        <v>10140779619</v>
      </c>
      <c r="D54" s="44" t="str">
        <f>IFERROR(__xludf.DUMMYFUNCTION("""COMPUTED_VALUE"""),"Durak")</f>
        <v>Durak</v>
      </c>
      <c r="E54" s="44" t="str">
        <f>IFERROR(__xludf.DUMMYFUNCTION("""COMPUTED_VALUE"""),"Džan")</f>
        <v>Džan</v>
      </c>
      <c r="F54" s="44" t="str">
        <f>IFERROR(__xludf.DUMMYFUNCTION("""COMPUTED_VALUE"""),"BIH")</f>
        <v>BIH</v>
      </c>
      <c r="G54" s="44" t="str">
        <f>IFERROR(__xludf.DUMMYFUNCTION("""COMPUTED_VALUE"""),"BK Daj krug")</f>
        <v>BK Daj krug</v>
      </c>
      <c r="H54" s="44" t="str">
        <f>IFERROR(__xludf.DUMMYFUNCTION("""COMPUTED_VALUE"""),"JUN")</f>
        <v>JUN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35">
        <v>41.0</v>
      </c>
      <c r="B55" s="45">
        <v>233.0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)"),"10047430354")</f>
        <v>10047430354</v>
      </c>
      <c r="D55" s="44" t="str">
        <f>IFERROR(__xludf.DUMMYFUNCTION("""COMPUTED_VALUE"""),"Bajer")</f>
        <v>Bajer</v>
      </c>
      <c r="E55" s="44" t="str">
        <f>IFERROR(__xludf.DUMMYFUNCTION("""COMPUTED_VALUE"""),"Matěj")</f>
        <v>Matěj</v>
      </c>
      <c r="F55" s="44" t="str">
        <f>IFERROR(__xludf.DUMMYFUNCTION("""COMPUTED_VALUE"""),"CZE")</f>
        <v>CZE</v>
      </c>
      <c r="G55" s="44" t="str">
        <f>IFERROR(__xludf.DUMMYFUNCTION("""COMPUTED_VALUE"""),"BIKERANCH")</f>
        <v>BIKERANCH</v>
      </c>
      <c r="H55" s="44" t="str">
        <f>IFERROR(__xludf.DUMMYFUNCTION("""COMPUTED_VALUE"""),"JUN")</f>
        <v>JUN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35">
        <v>42.0</v>
      </c>
      <c r="B56" s="45">
        <v>240.0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)"),"10147910937")</f>
        <v>10147910937</v>
      </c>
      <c r="D56" s="44" t="str">
        <f>IFERROR(__xludf.DUMMYFUNCTION("""COMPUTED_VALUE"""),"Korondi")</f>
        <v>Korondi</v>
      </c>
      <c r="E56" s="44" t="str">
        <f>IFERROR(__xludf.DUMMYFUNCTION("""COMPUTED_VALUE"""),"Balazs")</f>
        <v>Balazs</v>
      </c>
      <c r="F56" s="44" t="str">
        <f>IFERROR(__xludf.DUMMYFUNCTION("""COMPUTED_VALUE"""),"HUN")</f>
        <v>HUN</v>
      </c>
      <c r="G56" s="44" t="str">
        <f>IFERROR(__xludf.DUMMYFUNCTION("""COMPUTED_VALUE"""),"Lotus Team")</f>
        <v>Lotus Team</v>
      </c>
      <c r="H56" s="44" t="str">
        <f>IFERROR(__xludf.DUMMYFUNCTION("""COMPUTED_VALUE"""),"JUN")</f>
        <v>JUN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35">
        <v>43.0</v>
      </c>
      <c r="B57" s="45">
        <v>235.0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)"),"10047432778")</f>
        <v>10047432778</v>
      </c>
      <c r="D57" s="44" t="str">
        <f>IFERROR(__xludf.DUMMYFUNCTION("""COMPUTED_VALUE"""),"Černý")</f>
        <v>Černý</v>
      </c>
      <c r="E57" s="44" t="str">
        <f>IFERROR(__xludf.DUMMYFUNCTION("""COMPUTED_VALUE"""),"Tadeáš")</f>
        <v>Tadeáš</v>
      </c>
      <c r="F57" s="44" t="str">
        <f>IFERROR(__xludf.DUMMYFUNCTION("""COMPUTED_VALUE"""),"CZE")</f>
        <v>CZE</v>
      </c>
      <c r="G57" s="44" t="str">
        <f>IFERROR(__xludf.DUMMYFUNCTION("""COMPUTED_VALUE"""),"LAWI Junior team")</f>
        <v>LAWI Junior team</v>
      </c>
      <c r="H57" s="44" t="str">
        <f>IFERROR(__xludf.DUMMYFUNCTION("""COMPUTED_VALUE"""),"JUN")</f>
        <v>JUN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35">
        <v>44.0</v>
      </c>
      <c r="B58" s="45">
        <v>213.0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)"),"10106421108")</f>
        <v>10106421108</v>
      </c>
      <c r="D58" s="44" t="str">
        <f>IFERROR(__xludf.DUMMYFUNCTION("""COMPUTED_VALUE"""),"John")</f>
        <v>John</v>
      </c>
      <c r="E58" s="44" t="str">
        <f>IFERROR(__xludf.DUMMYFUNCTION("""COMPUTED_VALUE"""),"Eduard")</f>
        <v>Eduard</v>
      </c>
      <c r="F58" s="44" t="str">
        <f>IFERROR(__xludf.DUMMYFUNCTION("""COMPUTED_VALUE"""),"CZE")</f>
        <v>CZE</v>
      </c>
      <c r="G58" s="44" t="str">
        <f>IFERROR(__xludf.DUMMYFUNCTION("""COMPUTED_VALUE"""),"BRILON RACING TEAM MB")</f>
        <v>BRILON RACING TEAM MB</v>
      </c>
      <c r="H58" s="44" t="str">
        <f>IFERROR(__xludf.DUMMYFUNCTION("""COMPUTED_VALUE"""),"JUN")</f>
        <v>JUN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35">
        <v>45.0</v>
      </c>
      <c r="B59" s="45">
        <v>215.0</v>
      </c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)"),"10137603776")</f>
        <v>10137603776</v>
      </c>
      <c r="D59" s="44" t="str">
        <f>IFERROR(__xludf.DUMMYFUNCTION("""COMPUTED_VALUE"""),"Trojan")</f>
        <v>Trojan</v>
      </c>
      <c r="E59" s="44" t="str">
        <f>IFERROR(__xludf.DUMMYFUNCTION("""COMPUTED_VALUE"""),"Tomáš")</f>
        <v>Tomáš</v>
      </c>
      <c r="F59" s="44" t="str">
        <f>IFERROR(__xludf.DUMMYFUNCTION("""COMPUTED_VALUE"""),"CZE")</f>
        <v>CZE</v>
      </c>
      <c r="G59" s="44" t="str">
        <f>IFERROR(__xludf.DUMMYFUNCTION("""COMPUTED_VALUE"""),"BRILON RACING TEAM MB")</f>
        <v>BRILON RACING TEAM MB</v>
      </c>
      <c r="H59" s="44" t="str">
        <f>IFERROR(__xludf.DUMMYFUNCTION("""COMPUTED_VALUE"""),"JUN")</f>
        <v>JUN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35">
        <v>46.0</v>
      </c>
      <c r="B60" s="45">
        <v>210.0</v>
      </c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)"),"10092572942")</f>
        <v>10092572942</v>
      </c>
      <c r="D60" s="44" t="str">
        <f>IFERROR(__xludf.DUMMYFUNCTION("""COMPUTED_VALUE"""),"Rek")</f>
        <v>Rek</v>
      </c>
      <c r="E60" s="44" t="str">
        <f>IFERROR(__xludf.DUMMYFUNCTION("""COMPUTED_VALUE"""),"Patrik")</f>
        <v>Patrik</v>
      </c>
      <c r="F60" s="44" t="str">
        <f>IFERROR(__xludf.DUMMYFUNCTION("""COMPUTED_VALUE"""),"CZE")</f>
        <v>CZE</v>
      </c>
      <c r="G60" s="44" t="str">
        <f>IFERROR(__xludf.DUMMYFUNCTION("""COMPUTED_VALUE"""),"BRILON RACING TEAM MB")</f>
        <v>BRILON RACING TEAM MB</v>
      </c>
      <c r="H60" s="44" t="str">
        <f>IFERROR(__xludf.DUMMYFUNCTION("""COMPUTED_VALUE"""),"JUN")</f>
        <v>JUN</v>
      </c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35">
        <v>47.0</v>
      </c>
      <c r="B61" s="45">
        <v>262.0</v>
      </c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)"),"10157479379")</f>
        <v>10157479379</v>
      </c>
      <c r="D61" s="44" t="str">
        <f>IFERROR(__xludf.DUMMYFUNCTION("""COMPUTED_VALUE"""),"Fibír")</f>
        <v>Fibír</v>
      </c>
      <c r="E61" s="44" t="str">
        <f>IFERROR(__xludf.DUMMYFUNCTION("""COMPUTED_VALUE"""),"Jakub")</f>
        <v>Jakub</v>
      </c>
      <c r="F61" s="44" t="str">
        <f>IFERROR(__xludf.DUMMYFUNCTION("""COMPUTED_VALUE"""),"CZE")</f>
        <v>CZE</v>
      </c>
      <c r="G61" s="44" t="str">
        <f>IFERROR(__xludf.DUMMYFUNCTION("""COMPUTED_VALUE"""),"REXONIX KOVO PRAHA")</f>
        <v>REXONIX KOVO PRAHA</v>
      </c>
      <c r="H61" s="44" t="str">
        <f>IFERROR(__xludf.DUMMYFUNCTION("""COMPUTED_VALUE"""),"JUN")</f>
        <v>JUN</v>
      </c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35">
        <v>48.0</v>
      </c>
      <c r="B62" s="45">
        <v>247.0</v>
      </c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)"),"10104428463")</f>
        <v>10104428463</v>
      </c>
      <c r="D62" s="44" t="str">
        <f>IFERROR(__xludf.DUMMYFUNCTION("""COMPUTED_VALUE"""),"BICZYK")</f>
        <v>BICZYK</v>
      </c>
      <c r="E62" s="44" t="str">
        <f>IFERROR(__xludf.DUMMYFUNCTION("""COMPUTED_VALUE"""),"Konrad")</f>
        <v>Konrad</v>
      </c>
      <c r="F62" s="44" t="str">
        <f>IFERROR(__xludf.DUMMYFUNCTION("""COMPUTED_VALUE"""),"POL")</f>
        <v>POL</v>
      </c>
      <c r="G62" s="44" t="str">
        <f>IFERROR(__xludf.DUMMYFUNCTION("""COMPUTED_VALUE"""),"LUKS Trójka Piaseczno")</f>
        <v>LUKS Trójka Piaseczno</v>
      </c>
      <c r="H62" s="44" t="str">
        <f>IFERROR(__xludf.DUMMYFUNCTION("""COMPUTED_VALUE"""),"JUN")</f>
        <v>JUN</v>
      </c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35">
        <v>49.0</v>
      </c>
      <c r="B63" s="45">
        <v>252.0</v>
      </c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)"),"10105462121")</f>
        <v>10105462121</v>
      </c>
      <c r="D63" s="44" t="str">
        <f>IFERROR(__xludf.DUMMYFUNCTION("""COMPUTED_VALUE"""),"Mariak")</f>
        <v>Mariak</v>
      </c>
      <c r="E63" s="44" t="str">
        <f>IFERROR(__xludf.DUMMYFUNCTION("""COMPUTED_VALUE"""),"Samuel")</f>
        <v>Samuel</v>
      </c>
      <c r="F63" s="44" t="str">
        <f>IFERROR(__xludf.DUMMYFUNCTION("""COMPUTED_VALUE"""),"CZE")</f>
        <v>CZE</v>
      </c>
      <c r="G63" s="44" t="str">
        <f>IFERROR(__xludf.DUMMYFUNCTION("""COMPUTED_VALUE"""),"MAPEI MERIDA KAŇKOVSKÝ")</f>
        <v>MAPEI MERIDA KAŇKOVSKÝ</v>
      </c>
      <c r="H63" s="44" t="str">
        <f>IFERROR(__xludf.DUMMYFUNCTION("""COMPUTED_VALUE"""),"JUN")</f>
        <v>JUN</v>
      </c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35">
        <v>50.0</v>
      </c>
      <c r="B64" s="45">
        <v>211.0</v>
      </c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)"),"10047466225")</f>
        <v>10047466225</v>
      </c>
      <c r="D64" s="44" t="str">
        <f>IFERROR(__xludf.DUMMYFUNCTION("""COMPUTED_VALUE"""),"Vajsejtl")</f>
        <v>Vajsejtl</v>
      </c>
      <c r="E64" s="44" t="str">
        <f>IFERROR(__xludf.DUMMYFUNCTION("""COMPUTED_VALUE"""),"Jan")</f>
        <v>Jan</v>
      </c>
      <c r="F64" s="44" t="str">
        <f>IFERROR(__xludf.DUMMYFUNCTION("""COMPUTED_VALUE"""),"CZE")</f>
        <v>CZE</v>
      </c>
      <c r="G64" s="44" t="str">
        <f>IFERROR(__xludf.DUMMYFUNCTION("""COMPUTED_VALUE"""),"BRILON RACING TEAM MB")</f>
        <v>BRILON RACING TEAM MB</v>
      </c>
      <c r="H64" s="44" t="str">
        <f>IFERROR(__xludf.DUMMYFUNCTION("""COMPUTED_VALUE"""),"JUN")</f>
        <v>JUN</v>
      </c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35">
        <v>51.0</v>
      </c>
      <c r="B65" s="45">
        <v>204.0</v>
      </c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)"),"10095749387")</f>
        <v>10095749387</v>
      </c>
      <c r="D65" s="44" t="str">
        <f>IFERROR(__xludf.DUMMYFUNCTION("""COMPUTED_VALUE"""),"Nejedlý")</f>
        <v>Nejedlý</v>
      </c>
      <c r="E65" s="44" t="str">
        <f>IFERROR(__xludf.DUMMYFUNCTION("""COMPUTED_VALUE"""),"Lukáš")</f>
        <v>Lukáš</v>
      </c>
      <c r="F65" s="44" t="str">
        <f>IFERROR(__xludf.DUMMYFUNCTION("""COMPUTED_VALUE"""),"CZE")</f>
        <v>CZE</v>
      </c>
      <c r="G65" s="44" t="str">
        <f>IFERROR(__xludf.DUMMYFUNCTION("""COMPUTED_VALUE"""),"BB Com Devcity")</f>
        <v>BB Com Devcity</v>
      </c>
      <c r="H65" s="44" t="str">
        <f>IFERROR(__xludf.DUMMYFUNCTION("""COMPUTED_VALUE"""),"JUN")</f>
        <v>JUN</v>
      </c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35">
        <v>52.0</v>
      </c>
      <c r="B66" s="45">
        <v>279.0</v>
      </c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)"),"10 128 346 441")</f>
        <v>10 128 346 441</v>
      </c>
      <c r="D66" s="44" t="str">
        <f>IFERROR(__xludf.DUMMYFUNCTION("""COMPUTED_VALUE"""),"Stančík")</f>
        <v>Stančík</v>
      </c>
      <c r="E66" s="44" t="str">
        <f>IFERROR(__xludf.DUMMYFUNCTION("""COMPUTED_VALUE"""),"Marian")</f>
        <v>Marian</v>
      </c>
      <c r="F66" s="44" t="str">
        <f>IFERROR(__xludf.DUMMYFUNCTION("""COMPUTED_VALUE"""),"SVK")</f>
        <v>SVK</v>
      </c>
      <c r="G66" s="44" t="str">
        <f>IFERROR(__xludf.DUMMYFUNCTION("""COMPUTED_VALUE"""),"Slávia Trenčín")</f>
        <v>Slávia Trenčín</v>
      </c>
      <c r="H66" s="44" t="str">
        <f>IFERROR(__xludf.DUMMYFUNCTION("""COMPUTED_VALUE"""),"JUN")</f>
        <v>JUN</v>
      </c>
      <c r="I66" s="51">
        <v>0.07881944444444444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35">
        <v>53.0</v>
      </c>
      <c r="B67" s="45">
        <v>299.0</v>
      </c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)"),"10106086557")</f>
        <v>10106086557</v>
      </c>
      <c r="D67" s="44" t="str">
        <f>IFERROR(__xludf.DUMMYFUNCTION("""COMPUTED_VALUE"""),"Popovič")</f>
        <v>Popovič</v>
      </c>
      <c r="E67" s="44" t="str">
        <f>IFERROR(__xludf.DUMMYFUNCTION("""COMPUTED_VALUE"""),"Jakub")</f>
        <v>Jakub</v>
      </c>
      <c r="F67" s="44" t="str">
        <f>IFERROR(__xludf.DUMMYFUNCTION("""COMPUTED_VALUE"""),"CZE")</f>
        <v>CZE</v>
      </c>
      <c r="G67" s="44" t="str">
        <f>IFERROR(__xludf.DUMMYFUNCTION("""COMPUTED_VALUE"""),"TJ AUTO ŠKODA Mladá Boleslav")</f>
        <v>TJ AUTO ŠKODA Mladá Boleslav</v>
      </c>
      <c r="H67" s="44" t="str">
        <f>IFERROR(__xludf.DUMMYFUNCTION("""COMPUTED_VALUE"""),"JUN")</f>
        <v>JUN</v>
      </c>
      <c r="I67" s="51">
        <v>0.07951388888888888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35">
        <v>54.0</v>
      </c>
      <c r="B68" s="45">
        <v>465.0</v>
      </c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)"),"10111179562")</f>
        <v>10111179562</v>
      </c>
      <c r="D68" s="44" t="str">
        <f>IFERROR(__xludf.DUMMYFUNCTION("""COMPUTED_VALUE"""),"RUTKOWSKI")</f>
        <v>RUTKOWSKI</v>
      </c>
      <c r="E68" s="44" t="str">
        <f>IFERROR(__xludf.DUMMYFUNCTION("""COMPUTED_VALUE"""),"ŁUKASZ")</f>
        <v>ŁUKASZ</v>
      </c>
      <c r="F68" s="44" t="str">
        <f>IFERROR(__xludf.DUMMYFUNCTION("""COMPUTED_VALUE"""),"POL")</f>
        <v>POL</v>
      </c>
      <c r="G68" s="44" t="str">
        <f>IFERROR(__xludf.DUMMYFUNCTION("""COMPUTED_VALUE"""),"UKS AVATAR SILSIA TEAM")</f>
        <v>UKS AVATAR SILSIA TEAM</v>
      </c>
      <c r="H68" s="44" t="str">
        <f>IFERROR(__xludf.DUMMYFUNCTION("""COMPUTED_VALUE"""),"JUN")</f>
        <v>JUN</v>
      </c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35">
        <v>55.0</v>
      </c>
      <c r="B69" s="45">
        <v>234.0</v>
      </c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)"),"10097582182")</f>
        <v>10097582182</v>
      </c>
      <c r="D69" s="44" t="str">
        <f>IFERROR(__xludf.DUMMYFUNCTION("""COMPUTED_VALUE"""),"Kryl")</f>
        <v>Kryl</v>
      </c>
      <c r="E69" s="44" t="str">
        <f>IFERROR(__xludf.DUMMYFUNCTION("""COMPUTED_VALUE"""),"Karol")</f>
        <v>Karol</v>
      </c>
      <c r="F69" s="44" t="str">
        <f>IFERROR(__xludf.DUMMYFUNCTION("""COMPUTED_VALUE"""),"CZE")</f>
        <v>CZE</v>
      </c>
      <c r="G69" s="44" t="str">
        <f>IFERROR(__xludf.DUMMYFUNCTION("""COMPUTED_VALUE"""),"LAWI Junior team")</f>
        <v>LAWI Junior team</v>
      </c>
      <c r="H69" s="44" t="str">
        <f>IFERROR(__xludf.DUMMYFUNCTION("""COMPUTED_VALUE"""),"JUN")</f>
        <v>JUN</v>
      </c>
      <c r="I69" s="51">
        <v>0.0802662037037037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35">
        <v>56.0</v>
      </c>
      <c r="B70" s="45">
        <v>256.0</v>
      </c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)"),"10154689924")</f>
        <v>10154689924</v>
      </c>
      <c r="D70" s="44" t="str">
        <f>IFERROR(__xludf.DUMMYFUNCTION("""COMPUTED_VALUE"""),"Budil")</f>
        <v>Budil</v>
      </c>
      <c r="E70" s="44" t="str">
        <f>IFERROR(__xludf.DUMMYFUNCTION("""COMPUTED_VALUE"""),"David")</f>
        <v>David</v>
      </c>
      <c r="F70" s="44" t="str">
        <f>IFERROR(__xludf.DUMMYFUNCTION("""COMPUTED_VALUE"""),"CZE")</f>
        <v>CZE</v>
      </c>
      <c r="G70" s="44" t="str">
        <f>IFERROR(__xludf.DUMMYFUNCTION("""COMPUTED_VALUE"""),"Rafkarna IDEA Cycling Team")</f>
        <v>Rafkarna IDEA Cycling Team</v>
      </c>
      <c r="H70" s="44" t="str">
        <f>IFERROR(__xludf.DUMMYFUNCTION("""COMPUTED_VALUE"""),"JUN")</f>
        <v>JUN</v>
      </c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35">
        <v>57.0</v>
      </c>
      <c r="B71" s="45">
        <v>283.0</v>
      </c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)"),"10 066 648 478")</f>
        <v>10 066 648 478</v>
      </c>
      <c r="D71" s="44" t="str">
        <f>IFERROR(__xludf.DUMMYFUNCTION("""COMPUTED_VALUE"""),"Magdolen")</f>
        <v>Magdolen</v>
      </c>
      <c r="E71" s="44" t="str">
        <f>IFERROR(__xludf.DUMMYFUNCTION("""COMPUTED_VALUE"""),"Filip")</f>
        <v>Filip</v>
      </c>
      <c r="F71" s="44" t="str">
        <f>IFERROR(__xludf.DUMMYFUNCTION("""COMPUTED_VALUE"""),"SVK")</f>
        <v>SVK</v>
      </c>
      <c r="G71" s="44" t="str">
        <f>IFERROR(__xludf.DUMMYFUNCTION("""COMPUTED_VALUE"""),"Slávia Trenčín")</f>
        <v>Slávia Trenčín</v>
      </c>
      <c r="H71" s="44" t="str">
        <f>IFERROR(__xludf.DUMMYFUNCTION("""COMPUTED_VALUE"""),"JUN")</f>
        <v>JUN</v>
      </c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35">
        <v>58.0</v>
      </c>
      <c r="B72" s="45">
        <v>466.0</v>
      </c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)"),"10093734518")</f>
        <v>10093734518</v>
      </c>
      <c r="D72" s="44" t="str">
        <f>IFERROR(__xludf.DUMMYFUNCTION("""COMPUTED_VALUE"""),"BIES")</f>
        <v>BIES</v>
      </c>
      <c r="E72" s="44" t="str">
        <f>IFERROR(__xludf.DUMMYFUNCTION("""COMPUTED_VALUE"""),"KAROL")</f>
        <v>KAROL</v>
      </c>
      <c r="F72" s="44" t="str">
        <f>IFERROR(__xludf.DUMMYFUNCTION("""COMPUTED_VALUE"""),"POL")</f>
        <v>POL</v>
      </c>
      <c r="G72" s="44" t="str">
        <f>IFERROR(__xludf.DUMMYFUNCTION("""COMPUTED_VALUE"""),"UKS AVATAR SILSIA TEAM")</f>
        <v>UKS AVATAR SILSIA TEAM</v>
      </c>
      <c r="H72" s="44" t="str">
        <f>IFERROR(__xludf.DUMMYFUNCTION("""COMPUTED_VALUE"""),"JUN")</f>
        <v>JUN</v>
      </c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35">
        <v>59.0</v>
      </c>
      <c r="B73" s="45">
        <v>248.0</v>
      </c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)"),"10152853590")</f>
        <v>10152853590</v>
      </c>
      <c r="D73" s="44" t="str">
        <f>IFERROR(__xludf.DUMMYFUNCTION("""COMPUTED_VALUE"""),"Wališ")</f>
        <v>Wališ</v>
      </c>
      <c r="E73" s="44" t="str">
        <f>IFERROR(__xludf.DUMMYFUNCTION("""COMPUTED_VALUE"""),"Jakub")</f>
        <v>Jakub</v>
      </c>
      <c r="F73" s="44" t="str">
        <f>IFERROR(__xludf.DUMMYFUNCTION("""COMPUTED_VALUE"""),"CZE")</f>
        <v>CZE</v>
      </c>
      <c r="G73" s="44" t="str">
        <f>IFERROR(__xludf.DUMMYFUNCTION("""COMPUTED_VALUE"""),"MAPEI MERIDA KAŇKOVSKÝ")</f>
        <v>MAPEI MERIDA KAŇKOVSKÝ</v>
      </c>
      <c r="H73" s="44" t="str">
        <f>IFERROR(__xludf.DUMMYFUNCTION("""COMPUTED_VALUE"""),"JUN")</f>
        <v>JUN</v>
      </c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35">
        <v>60.0</v>
      </c>
      <c r="B74" s="45">
        <v>206.0</v>
      </c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)"),"10157990146")</f>
        <v>10157990146</v>
      </c>
      <c r="D74" s="44" t="str">
        <f>IFERROR(__xludf.DUMMYFUNCTION("""COMPUTED_VALUE"""),"Šolc")</f>
        <v>Šolc</v>
      </c>
      <c r="E74" s="44" t="str">
        <f>IFERROR(__xludf.DUMMYFUNCTION("""COMPUTED_VALUE"""),"Antonín")</f>
        <v>Antonín</v>
      </c>
      <c r="F74" s="44" t="str">
        <f>IFERROR(__xludf.DUMMYFUNCTION("""COMPUTED_VALUE"""),"CZE")</f>
        <v>CZE</v>
      </c>
      <c r="G74" s="44" t="str">
        <f>IFERROR(__xludf.DUMMYFUNCTION("""COMPUTED_VALUE"""),"BB Com Devcity")</f>
        <v>BB Com Devcity</v>
      </c>
      <c r="H74" s="44" t="str">
        <f>IFERROR(__xludf.DUMMYFUNCTION("""COMPUTED_VALUE"""),"JUN")</f>
        <v>JUN</v>
      </c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35">
        <v>61.0</v>
      </c>
      <c r="B75" s="45">
        <v>201.0</v>
      </c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)"),"10162344032")</f>
        <v>10162344032</v>
      </c>
      <c r="D75" s="44" t="str">
        <f>IFERROR(__xludf.DUMMYFUNCTION("""COMPUTED_VALUE"""),"Mohamed")</f>
        <v>Mohamed</v>
      </c>
      <c r="E75" s="44" t="str">
        <f>IFERROR(__xludf.DUMMYFUNCTION("""COMPUTED_VALUE"""),"Yassin")</f>
        <v>Yassin</v>
      </c>
      <c r="F75" s="44" t="str">
        <f>IFERROR(__xludf.DUMMYFUNCTION("""COMPUTED_VALUE"""),"AUT")</f>
        <v>AUT</v>
      </c>
      <c r="G75" s="44" t="str">
        <f>IFERROR(__xludf.DUMMYFUNCTION("""COMPUTED_VALUE"""),"ARBÖ ASKÖ RLM Wien")</f>
        <v>ARBÖ ASKÖ RLM Wien</v>
      </c>
      <c r="H75" s="44" t="str">
        <f>IFERROR(__xludf.DUMMYFUNCTION("""COMPUTED_VALUE"""),"JUN")</f>
        <v>JUN</v>
      </c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35">
        <v>62.0</v>
      </c>
      <c r="B76" s="45">
        <v>251.0</v>
      </c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)"),"10144615462")</f>
        <v>10144615462</v>
      </c>
      <c r="D76" s="44" t="str">
        <f>IFERROR(__xludf.DUMMYFUNCTION("""COMPUTED_VALUE"""),"Nejedlý")</f>
        <v>Nejedlý</v>
      </c>
      <c r="E76" s="44" t="str">
        <f>IFERROR(__xludf.DUMMYFUNCTION("""COMPUTED_VALUE"""),"Tomáš")</f>
        <v>Tomáš</v>
      </c>
      <c r="F76" s="44" t="str">
        <f>IFERROR(__xludf.DUMMYFUNCTION("""COMPUTED_VALUE"""),"CZE")</f>
        <v>CZE</v>
      </c>
      <c r="G76" s="44" t="str">
        <f>IFERROR(__xludf.DUMMYFUNCTION("""COMPUTED_VALUE"""),"MAPEI MERIDA KAŇKOVSKÝ")</f>
        <v>MAPEI MERIDA KAŇKOVSKÝ</v>
      </c>
      <c r="H76" s="44" t="str">
        <f>IFERROR(__xludf.DUMMYFUNCTION("""COMPUTED_VALUE"""),"JUN")</f>
        <v>JUN</v>
      </c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35">
        <v>63.0</v>
      </c>
      <c r="B77" s="45">
        <v>459.0</v>
      </c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)"),"10149517602")</f>
        <v>10149517602</v>
      </c>
      <c r="D77" s="44" t="str">
        <f>IFERROR(__xludf.DUMMYFUNCTION("""COMPUTED_VALUE"""),"Bittner")</f>
        <v>Bittner</v>
      </c>
      <c r="E77" s="44" t="str">
        <f>IFERROR(__xludf.DUMMYFUNCTION("""COMPUTED_VALUE"""),"Michal")</f>
        <v>Michal</v>
      </c>
      <c r="F77" s="44" t="str">
        <f>IFERROR(__xludf.DUMMYFUNCTION("""COMPUTED_VALUE"""),"CZE")</f>
        <v>CZE</v>
      </c>
      <c r="G77" s="44" t="str">
        <f>IFERROR(__xludf.DUMMYFUNCTION("""COMPUTED_VALUE"""),"TUFO PARDUS Prostějov")</f>
        <v>TUFO PARDUS Prostějov</v>
      </c>
      <c r="H77" s="44" t="str">
        <f>IFERROR(__xludf.DUMMYFUNCTION("""COMPUTED_VALUE"""),"JUN")</f>
        <v>JUN</v>
      </c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35">
        <v>64.0</v>
      </c>
      <c r="B78" s="45">
        <v>455.0</v>
      </c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)"),"10150560249")</f>
        <v>10150560249</v>
      </c>
      <c r="D78" s="44" t="str">
        <f>IFERROR(__xludf.DUMMYFUNCTION("""COMPUTED_VALUE"""),"Nečada")</f>
        <v>Nečada</v>
      </c>
      <c r="E78" s="44" t="str">
        <f>IFERROR(__xludf.DUMMYFUNCTION("""COMPUTED_VALUE"""),"Vojtěch")</f>
        <v>Vojtěch</v>
      </c>
      <c r="F78" s="44" t="str">
        <f>IFERROR(__xludf.DUMMYFUNCTION("""COMPUTED_VALUE"""),"CZE")</f>
        <v>CZE</v>
      </c>
      <c r="G78" s="44" t="str">
        <f>IFERROR(__xludf.DUMMYFUNCTION("""COMPUTED_VALUE"""),"TUFO PARDUS Prostějov")</f>
        <v>TUFO PARDUS Prostějov</v>
      </c>
      <c r="H78" s="44" t="str">
        <f>IFERROR(__xludf.DUMMYFUNCTION("""COMPUTED_VALUE"""),"JUN")</f>
        <v>JUN</v>
      </c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35">
        <v>65.0</v>
      </c>
      <c r="B79" s="45">
        <v>249.0</v>
      </c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)"),"10149565391")</f>
        <v>10149565391</v>
      </c>
      <c r="D79" s="44" t="str">
        <f>IFERROR(__xludf.DUMMYFUNCTION("""COMPUTED_VALUE"""),"Keclík")</f>
        <v>Keclík</v>
      </c>
      <c r="E79" s="44" t="str">
        <f>IFERROR(__xludf.DUMMYFUNCTION("""COMPUTED_VALUE"""),"Ondřej")</f>
        <v>Ondřej</v>
      </c>
      <c r="F79" s="44" t="str">
        <f>IFERROR(__xludf.DUMMYFUNCTION("""COMPUTED_VALUE"""),"CZE")</f>
        <v>CZE</v>
      </c>
      <c r="G79" s="44" t="str">
        <f>IFERROR(__xludf.DUMMYFUNCTION("""COMPUTED_VALUE"""),"MAPEI MERIDA KAŇKOVSKÝ")</f>
        <v>MAPEI MERIDA KAŇKOVSKÝ</v>
      </c>
      <c r="H79" s="44" t="str">
        <f>IFERROR(__xludf.DUMMYFUNCTION("""COMPUTED_VALUE"""),"JUN")</f>
        <v>JUN</v>
      </c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35">
        <v>66.0</v>
      </c>
      <c r="B80" s="45">
        <v>297.0</v>
      </c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)"),"10163370818")</f>
        <v>10163370818</v>
      </c>
      <c r="D80" s="44" t="str">
        <f>IFERROR(__xludf.DUMMYFUNCTION("""COMPUTED_VALUE"""),"Rak")</f>
        <v>Rak</v>
      </c>
      <c r="E80" s="44" t="str">
        <f>IFERROR(__xludf.DUMMYFUNCTION("""COMPUTED_VALUE"""),"Hynek")</f>
        <v>Hynek</v>
      </c>
      <c r="F80" s="44" t="str">
        <f>IFERROR(__xludf.DUMMYFUNCTION("""COMPUTED_VALUE"""),"CZE")</f>
        <v>CZE</v>
      </c>
      <c r="G80" s="44" t="str">
        <f>IFERROR(__xludf.DUMMYFUNCTION("""COMPUTED_VALUE"""),"Team Forman Energetic")</f>
        <v>Team Forman Energetic</v>
      </c>
      <c r="H80" s="44" t="str">
        <f>IFERROR(__xludf.DUMMYFUNCTION("""COMPUTED_VALUE"""),"JUN")</f>
        <v>JUN</v>
      </c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35">
        <v>67.0</v>
      </c>
      <c r="B81" s="45">
        <v>245.0</v>
      </c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)"),"10091189579")</f>
        <v>10091189579</v>
      </c>
      <c r="D81" s="44" t="str">
        <f>IFERROR(__xludf.DUMMYFUNCTION("""COMPUTED_VALUE"""),"Kostoski")</f>
        <v>Kostoski</v>
      </c>
      <c r="E81" s="44" t="str">
        <f>IFERROR(__xludf.DUMMYFUNCTION("""COMPUTED_VALUE"""),"Konstantin")</f>
        <v>Konstantin</v>
      </c>
      <c r="F81" s="44" t="str">
        <f>IFERROR(__xludf.DUMMYFUNCTION("""COMPUTED_VALUE"""),"MKD")</f>
        <v>MKD</v>
      </c>
      <c r="G81" s="44" t="str">
        <f>IFERROR(__xludf.DUMMYFUNCTION("""COMPUTED_VALUE"""),"Lotus Team")</f>
        <v>Lotus Team</v>
      </c>
      <c r="H81" s="44" t="str">
        <f>IFERROR(__xludf.DUMMYFUNCTION("""COMPUTED_VALUE"""),"JUN")</f>
        <v>JUN</v>
      </c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35">
        <v>68.0</v>
      </c>
      <c r="B82" s="45">
        <v>456.0</v>
      </c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)"),"10104974996")</f>
        <v>10104974996</v>
      </c>
      <c r="D82" s="44" t="str">
        <f>IFERROR(__xludf.DUMMYFUNCTION("""COMPUTED_VALUE"""),"Dedek")</f>
        <v>Dedek</v>
      </c>
      <c r="E82" s="44" t="str">
        <f>IFERROR(__xludf.DUMMYFUNCTION("""COMPUTED_VALUE"""),"Matěj")</f>
        <v>Matěj</v>
      </c>
      <c r="F82" s="44" t="str">
        <f>IFERROR(__xludf.DUMMYFUNCTION("""COMPUTED_VALUE"""),"CZE")</f>
        <v>CZE</v>
      </c>
      <c r="G82" s="44" t="str">
        <f>IFERROR(__xludf.DUMMYFUNCTION("""COMPUTED_VALUE"""),"TUFO PARDUS Prostějov")</f>
        <v>TUFO PARDUS Prostějov</v>
      </c>
      <c r="H82" s="44" t="str">
        <f>IFERROR(__xludf.DUMMYFUNCTION("""COMPUTED_VALUE"""),"JUN")</f>
        <v>JUN</v>
      </c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35">
        <v>69.0</v>
      </c>
      <c r="B83" s="45">
        <v>254.0</v>
      </c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)"),"1010632552")</f>
        <v>1010632552</v>
      </c>
      <c r="D83" s="44" t="str">
        <f>IFERROR(__xludf.DUMMYFUNCTION("""COMPUTED_VALUE"""),"Pazourek")</f>
        <v>Pazourek</v>
      </c>
      <c r="E83" s="44" t="str">
        <f>IFERROR(__xludf.DUMMYFUNCTION("""COMPUTED_VALUE"""),"Tadeáš")</f>
        <v>Tadeáš</v>
      </c>
      <c r="F83" s="44" t="str">
        <f>IFERROR(__xludf.DUMMYFUNCTION("""COMPUTED_VALUE"""),"CZE")</f>
        <v>CZE</v>
      </c>
      <c r="G83" s="44" t="str">
        <f>IFERROR(__xludf.DUMMYFUNCTION("""COMPUTED_VALUE"""),"MAPEI MERIDA KAŇKOVSKÝ")</f>
        <v>MAPEI MERIDA KAŇKOVSKÝ</v>
      </c>
      <c r="H83" s="44" t="str">
        <f>IFERROR(__xludf.DUMMYFUNCTION("""COMPUTED_VALUE"""),"JUN")</f>
        <v>JUN</v>
      </c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35">
        <v>70.0</v>
      </c>
      <c r="B84" s="45">
        <v>207.0</v>
      </c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)"),"10149946826")</f>
        <v>10149946826</v>
      </c>
      <c r="D84" s="44" t="str">
        <f>IFERROR(__xludf.DUMMYFUNCTION("""COMPUTED_VALUE"""),"Šimčák")</f>
        <v>Šimčák</v>
      </c>
      <c r="E84" s="44" t="str">
        <f>IFERROR(__xludf.DUMMYFUNCTION("""COMPUTED_VALUE"""),"Miroslav")</f>
        <v>Miroslav</v>
      </c>
      <c r="F84" s="44" t="str">
        <f>IFERROR(__xludf.DUMMYFUNCTION("""COMPUTED_VALUE"""),"CZE")</f>
        <v>CZE</v>
      </c>
      <c r="G84" s="44" t="str">
        <f>IFERROR(__xludf.DUMMYFUNCTION("""COMPUTED_VALUE"""),"BB Com Devcity")</f>
        <v>BB Com Devcity</v>
      </c>
      <c r="H84" s="44" t="str">
        <f>IFERROR(__xludf.DUMMYFUNCTION("""COMPUTED_VALUE"""),"JUN")</f>
        <v>JUN</v>
      </c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35">
        <v>71.0</v>
      </c>
      <c r="B85" s="45">
        <v>469.0</v>
      </c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)"),"101 070 821 22")</f>
        <v>101 070 821 22</v>
      </c>
      <c r="D85" s="44" t="str">
        <f>IFERROR(__xludf.DUMMYFUNCTION("""COMPUTED_VALUE"""),"Kaufmann")</f>
        <v>Kaufmann</v>
      </c>
      <c r="E85" s="44" t="str">
        <f>IFERROR(__xludf.DUMMYFUNCTION("""COMPUTED_VALUE"""),"Sebastian")</f>
        <v>Sebastian</v>
      </c>
      <c r="F85" s="44" t="str">
        <f>IFERROR(__xludf.DUMMYFUNCTION("""COMPUTED_VALUE"""),"AUT")</f>
        <v>AUT</v>
      </c>
      <c r="G85" s="44" t="str">
        <f>IFERROR(__xludf.DUMMYFUNCTION("""COMPUTED_VALUE"""),"velo.crew POPAFLO")</f>
        <v>velo.crew POPAFLO</v>
      </c>
      <c r="H85" s="44" t="str">
        <f>IFERROR(__xludf.DUMMYFUNCTION("""COMPUTED_VALUE"""),"JUN")</f>
        <v>JUN</v>
      </c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35">
        <v>72.0</v>
      </c>
      <c r="B86" s="45">
        <v>202.0</v>
      </c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)"),"10105673194")</f>
        <v>10105673194</v>
      </c>
      <c r="D86" s="44" t="str">
        <f>IFERROR(__xludf.DUMMYFUNCTION("""COMPUTED_VALUE"""),"Romeo")</f>
        <v>Romeo</v>
      </c>
      <c r="E86" s="44" t="str">
        <f>IFERROR(__xludf.DUMMYFUNCTION("""COMPUTED_VALUE"""),"Haschka")</f>
        <v>Haschka</v>
      </c>
      <c r="F86" s="44" t="str">
        <f>IFERROR(__xludf.DUMMYFUNCTION("""COMPUTED_VALUE"""),"AUT")</f>
        <v>AUT</v>
      </c>
      <c r="G86" s="44" t="str">
        <f>IFERROR(__xludf.DUMMYFUNCTION("""COMPUTED_VALUE"""),"ARBÖ ASKÖ RLM Wien")</f>
        <v>ARBÖ ASKÖ RLM Wien</v>
      </c>
      <c r="H86" s="44" t="str">
        <f>IFERROR(__xludf.DUMMYFUNCTION("""COMPUTED_VALUE"""),"JUN")</f>
        <v>JUN</v>
      </c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35">
        <v>73.0</v>
      </c>
      <c r="B87" s="45">
        <v>284.0</v>
      </c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)"),"10097284819")</f>
        <v>10097284819</v>
      </c>
      <c r="D87" s="44" t="str">
        <f>IFERROR(__xludf.DUMMYFUNCTION("""COMPUTED_VALUE"""),"Kajaba")</f>
        <v>Kajaba</v>
      </c>
      <c r="E87" s="44" t="str">
        <f>IFERROR(__xludf.DUMMYFUNCTION("""COMPUTED_VALUE"""),"Martin")</f>
        <v>Martin</v>
      </c>
      <c r="F87" s="44" t="str">
        <f>IFERROR(__xludf.DUMMYFUNCTION("""COMPUTED_VALUE"""),"SVK")</f>
        <v>SVK</v>
      </c>
      <c r="G87" s="44" t="str">
        <f>IFERROR(__xludf.DUMMYFUNCTION("""COMPUTED_VALUE"""),"Slávia Trenčín")</f>
        <v>Slávia Trenčín</v>
      </c>
      <c r="H87" s="44" t="str">
        <f>IFERROR(__xludf.DUMMYFUNCTION("""COMPUTED_VALUE"""),"JUN")</f>
        <v>JUN</v>
      </c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35">
        <v>74.0</v>
      </c>
      <c r="B88" s="45">
        <v>260.0</v>
      </c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)"),"10145119458")</f>
        <v>10145119458</v>
      </c>
      <c r="D88" s="44" t="str">
        <f>IFERROR(__xludf.DUMMYFUNCTION("""COMPUTED_VALUE"""),"Heinrich")</f>
        <v>Heinrich</v>
      </c>
      <c r="E88" s="44" t="str">
        <f>IFERROR(__xludf.DUMMYFUNCTION("""COMPUTED_VALUE"""),"Vincent")</f>
        <v>Vincent</v>
      </c>
      <c r="F88" s="44" t="str">
        <f>IFERROR(__xludf.DUMMYFUNCTION("""COMPUTED_VALUE"""),"AUT")</f>
        <v>AUT</v>
      </c>
      <c r="G88" s="44" t="str">
        <f>IFERROR(__xludf.DUMMYFUNCTION("""COMPUTED_VALUE"""),"RCO BOA WELS")</f>
        <v>RCO BOA WELS</v>
      </c>
      <c r="H88" s="44" t="str">
        <f>IFERROR(__xludf.DUMMYFUNCTION("""COMPUTED_VALUE"""),"JUN")</f>
        <v>JUN</v>
      </c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35">
        <v>75.0</v>
      </c>
      <c r="B89" s="45">
        <v>265.0</v>
      </c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)"),"10138651982")</f>
        <v>10138651982</v>
      </c>
      <c r="D89" s="44" t="str">
        <f>IFERROR(__xludf.DUMMYFUNCTION("""COMPUTED_VALUE"""),"Egrt")</f>
        <v>Egrt</v>
      </c>
      <c r="E89" s="44" t="str">
        <f>IFERROR(__xludf.DUMMYFUNCTION("""COMPUTED_VALUE"""),"Kryštof")</f>
        <v>Kryštof</v>
      </c>
      <c r="F89" s="44" t="str">
        <f>IFERROR(__xludf.DUMMYFUNCTION("""COMPUTED_VALUE"""),"CZE")</f>
        <v>CZE</v>
      </c>
      <c r="G89" s="44" t="str">
        <f>IFERROR(__xludf.DUMMYFUNCTION("""COMPUTED_VALUE"""),"REXONIX KOVO PRAHA")</f>
        <v>REXONIX KOVO PRAHA</v>
      </c>
      <c r="H89" s="44" t="str">
        <f>IFERROR(__xludf.DUMMYFUNCTION("""COMPUTED_VALUE"""),"JUN")</f>
        <v>JUN</v>
      </c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35">
        <v>76.0</v>
      </c>
      <c r="B90" s="45">
        <v>286.0</v>
      </c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)"),"10161858123")</f>
        <v>10161858123</v>
      </c>
      <c r="D90" s="44" t="str">
        <f>IFERROR(__xludf.DUMMYFUNCTION("""COMPUTED_VALUE"""),"Ambrož")</f>
        <v>Ambrož</v>
      </c>
      <c r="E90" s="44" t="str">
        <f>IFERROR(__xludf.DUMMYFUNCTION("""COMPUTED_VALUE"""),"Vojtěch")</f>
        <v>Vojtěch</v>
      </c>
      <c r="F90" s="44" t="str">
        <f>IFERROR(__xludf.DUMMYFUNCTION("""COMPUTED_VALUE"""),"CZE")</f>
        <v>CZE</v>
      </c>
      <c r="G90" s="44" t="str">
        <f>IFERROR(__xludf.DUMMYFUNCTION("""COMPUTED_VALUE"""),"Superior Team Jeseník")</f>
        <v>Superior Team Jeseník</v>
      </c>
      <c r="H90" s="44" t="str">
        <f>IFERROR(__xludf.DUMMYFUNCTION("""COMPUTED_VALUE"""),"JUN")</f>
        <v>JUN</v>
      </c>
      <c r="I90" s="51">
        <v>0.08136574074074074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35">
        <v>77.0</v>
      </c>
      <c r="B91" s="45">
        <v>225.0</v>
      </c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)"),"10106986536")</f>
        <v>10106986536</v>
      </c>
      <c r="D91" s="44" t="str">
        <f>IFERROR(__xludf.DUMMYFUNCTION("""COMPUTED_VALUE"""),"JURICKÝ")</f>
        <v>JURICKÝ</v>
      </c>
      <c r="E91" s="44" t="str">
        <f>IFERROR(__xludf.DUMMYFUNCTION("""COMPUTED_VALUE"""),"Michael")</f>
        <v>Michael</v>
      </c>
      <c r="F91" s="44" t="str">
        <f>IFERROR(__xludf.DUMMYFUNCTION("""COMPUTED_VALUE"""),"SVK")</f>
        <v>SVK</v>
      </c>
      <c r="G91" s="44" t="str">
        <f>IFERROR(__xludf.DUMMYFUNCTION("""COMPUTED_VALUE"""),"CyS - Akadémia Petra Sagana")</f>
        <v>CyS - Akadémia Petra Sagana</v>
      </c>
      <c r="H91" s="44" t="str">
        <f>IFERROR(__xludf.DUMMYFUNCTION("""COMPUTED_VALUE"""),"JUN")</f>
        <v>JUN</v>
      </c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35" t="s">
        <v>90</v>
      </c>
      <c r="B92" s="45">
        <v>228.0</v>
      </c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)"),"10160994217")</f>
        <v>10160994217</v>
      </c>
      <c r="D92" s="44" t="str">
        <f>IFERROR(__xludf.DUMMYFUNCTION("""COMPUTED_VALUE"""),"Pescenda")</f>
        <v>Pescenda</v>
      </c>
      <c r="E92" s="44" t="str">
        <f>IFERROR(__xludf.DUMMYFUNCTION("""COMPUTED_VALUE"""),"Alexandre")</f>
        <v>Alexandre</v>
      </c>
      <c r="F92" s="44" t="str">
        <f>IFERROR(__xludf.DUMMYFUNCTION("""COMPUTED_VALUE"""),"FRA")</f>
        <v>FRA</v>
      </c>
      <c r="G92" s="44" t="str">
        <f>IFERROR(__xludf.DUMMYFUNCTION("""COMPUTED_VALUE"""),"FIEGE VELO AKADEMIE")</f>
        <v>FIEGE VELO AKADEMIE</v>
      </c>
      <c r="H92" s="44" t="str">
        <f>IFERROR(__xludf.DUMMYFUNCTION("""COMPUTED_VALUE"""),"JUN")</f>
        <v>JUN</v>
      </c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35" t="s">
        <v>90</v>
      </c>
      <c r="B93" s="45">
        <v>238.0</v>
      </c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)"),"10142370419")</f>
        <v>10142370419</v>
      </c>
      <c r="D93" s="44" t="str">
        <f>IFERROR(__xludf.DUMMYFUNCTION("""COMPUTED_VALUE"""),"Galicz")</f>
        <v>Galicz</v>
      </c>
      <c r="E93" s="44" t="str">
        <f>IFERROR(__xludf.DUMMYFUNCTION("""COMPUTED_VALUE"""),"Benedek")</f>
        <v>Benedek</v>
      </c>
      <c r="F93" s="44" t="str">
        <f>IFERROR(__xludf.DUMMYFUNCTION("""COMPUTED_VALUE"""),"HUN")</f>
        <v>HUN</v>
      </c>
      <c r="G93" s="44" t="str">
        <f>IFERROR(__xludf.DUMMYFUNCTION("""COMPUTED_VALUE"""),"Lotus Team")</f>
        <v>Lotus Team</v>
      </c>
      <c r="H93" s="44" t="str">
        <f>IFERROR(__xludf.DUMMYFUNCTION("""COMPUTED_VALUE"""),"JUN")</f>
        <v>JUN</v>
      </c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35" t="s">
        <v>90</v>
      </c>
      <c r="B94" s="45">
        <v>261.0</v>
      </c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)"),"10157150993")</f>
        <v>10157150993</v>
      </c>
      <c r="D94" s="44" t="str">
        <f>IFERROR(__xludf.DUMMYFUNCTION("""COMPUTED_VALUE"""),"Weller")</f>
        <v>Weller</v>
      </c>
      <c r="E94" s="44" t="str">
        <f>IFERROR(__xludf.DUMMYFUNCTION("""COMPUTED_VALUE"""),"Maurice")</f>
        <v>Maurice</v>
      </c>
      <c r="F94" s="44" t="str">
        <f>IFERROR(__xludf.DUMMYFUNCTION("""COMPUTED_VALUE"""),"GER")</f>
        <v>GER</v>
      </c>
      <c r="G94" s="44" t="str">
        <f>IFERROR(__xludf.DUMMYFUNCTION("""COMPUTED_VALUE"""),"REXONIX KOVO PRAHA")</f>
        <v>REXONIX KOVO PRAHA</v>
      </c>
      <c r="H94" s="44" t="str">
        <f>IFERROR(__xludf.DUMMYFUNCTION("""COMPUTED_VALUE"""),"JUN")</f>
        <v>JUN</v>
      </c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35" t="s">
        <v>90</v>
      </c>
      <c r="B95" s="45">
        <v>453.0</v>
      </c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)"),"10162399303")</f>
        <v>10162399303</v>
      </c>
      <c r="D95" s="44" t="str">
        <f>IFERROR(__xludf.DUMMYFUNCTION("""COMPUTED_VALUE"""),"BOROVEC")</f>
        <v>BOROVEC</v>
      </c>
      <c r="E95" s="44" t="str">
        <f>IFERROR(__xludf.DUMMYFUNCTION("""COMPUTED_VALUE"""),"Antonín")</f>
        <v>Antonín</v>
      </c>
      <c r="F95" s="44" t="str">
        <f>IFERROR(__xludf.DUMMYFUNCTION("""COMPUTED_VALUE"""),"CZE")</f>
        <v>CZE</v>
      </c>
      <c r="G95" s="44" t="str">
        <f>IFERROR(__xludf.DUMMYFUNCTION("""COMPUTED_VALUE"""),"TJ FAVORIT BRNO")</f>
        <v>TJ FAVORIT BRNO</v>
      </c>
      <c r="H95" s="44" t="str">
        <f>IFERROR(__xludf.DUMMYFUNCTION("""COMPUTED_VALUE"""),"JUN")</f>
        <v>JUN</v>
      </c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35" t="s">
        <v>90</v>
      </c>
      <c r="B96" s="45">
        <v>266.0</v>
      </c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)"),"10162266028")</f>
        <v>10162266028</v>
      </c>
      <c r="D96" s="44" t="str">
        <f>IFERROR(__xludf.DUMMYFUNCTION("""COMPUTED_VALUE"""),"Hejduk")</f>
        <v>Hejduk</v>
      </c>
      <c r="E96" s="44" t="str">
        <f>IFERROR(__xludf.DUMMYFUNCTION("""COMPUTED_VALUE"""),"Richard")</f>
        <v>Richard</v>
      </c>
      <c r="F96" s="44" t="str">
        <f>IFERROR(__xludf.DUMMYFUNCTION("""COMPUTED_VALUE"""),"CZE")</f>
        <v>CZE</v>
      </c>
      <c r="G96" s="44" t="str">
        <f>IFERROR(__xludf.DUMMYFUNCTION("""COMPUTED_VALUE"""),"REXONIX KOVO PRAHA")</f>
        <v>REXONIX KOVO PRAHA</v>
      </c>
      <c r="H96" s="44" t="str">
        <f>IFERROR(__xludf.DUMMYFUNCTION("""COMPUTED_VALUE"""),"JUN")</f>
        <v>JUN</v>
      </c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35" t="s">
        <v>90</v>
      </c>
      <c r="B97" s="45">
        <v>451.0</v>
      </c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)"),"10171977041")</f>
        <v>10171977041</v>
      </c>
      <c r="D97" s="44" t="str">
        <f>IFERROR(__xludf.DUMMYFUNCTION("""COMPUTED_VALUE"""),"Lacina")</f>
        <v>Lacina</v>
      </c>
      <c r="E97" s="44" t="str">
        <f>IFERROR(__xludf.DUMMYFUNCTION("""COMPUTED_VALUE"""),"Pavel")</f>
        <v>Pavel</v>
      </c>
      <c r="F97" s="44" t="str">
        <f>IFERROR(__xludf.DUMMYFUNCTION("""COMPUTED_VALUE"""),"CZE")</f>
        <v>CZE</v>
      </c>
      <c r="G97" s="44" t="str">
        <f>IFERROR(__xludf.DUMMYFUNCTION("""COMPUTED_VALUE"""),"TJ AUTO ŠKODA Mladá Boleslav")</f>
        <v>TJ AUTO ŠKODA Mladá Boleslav</v>
      </c>
      <c r="H97" s="44" t="str">
        <f>IFERROR(__xludf.DUMMYFUNCTION("""COMPUTED_VALUE"""),"JUN")</f>
        <v>JUN</v>
      </c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35" t="s">
        <v>90</v>
      </c>
      <c r="B98" s="45">
        <v>259.0</v>
      </c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)"),"10161491341")</f>
        <v>10161491341</v>
      </c>
      <c r="D98" s="44" t="str">
        <f>IFERROR(__xludf.DUMMYFUNCTION("""COMPUTED_VALUE"""),"Schöfer")</f>
        <v>Schöfer</v>
      </c>
      <c r="E98" s="44" t="str">
        <f>IFERROR(__xludf.DUMMYFUNCTION("""COMPUTED_VALUE"""),"Florian")</f>
        <v>Florian</v>
      </c>
      <c r="F98" s="44" t="str">
        <f>IFERROR(__xludf.DUMMYFUNCTION("""COMPUTED_VALUE"""),"AUT")</f>
        <v>AUT</v>
      </c>
      <c r="G98" s="44" t="str">
        <f>IFERROR(__xludf.DUMMYFUNCTION("""COMPUTED_VALUE"""),"RCO BOA WELS")</f>
        <v>RCO BOA WELS</v>
      </c>
      <c r="H98" s="44" t="str">
        <f>IFERROR(__xludf.DUMMYFUNCTION("""COMPUTED_VALUE"""),"JUN")</f>
        <v>JUN</v>
      </c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35" t="s">
        <v>90</v>
      </c>
      <c r="B99" s="45">
        <v>227.0</v>
      </c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)"),"10162524692")</f>
        <v>10162524692</v>
      </c>
      <c r="D99" s="44" t="str">
        <f>IFERROR(__xludf.DUMMYFUNCTION("""COMPUTED_VALUE"""),"Kövešlygety")</f>
        <v>Kövešlygety</v>
      </c>
      <c r="E99" s="44" t="str">
        <f>IFERROR(__xludf.DUMMYFUNCTION("""COMPUTED_VALUE"""),"Šimon")</f>
        <v>Šimon</v>
      </c>
      <c r="F99" s="44" t="str">
        <f>IFERROR(__xludf.DUMMYFUNCTION("""COMPUTED_VALUE"""),"CZE")</f>
        <v>CZE</v>
      </c>
      <c r="G99" s="44" t="str">
        <f>IFERROR(__xludf.DUMMYFUNCTION("""COMPUTED_VALUE"""),"FIEGE VELO AKADEMIE")</f>
        <v>FIEGE VELO AKADEMIE</v>
      </c>
      <c r="H99" s="44" t="str">
        <f>IFERROR(__xludf.DUMMYFUNCTION("""COMPUTED_VALUE"""),"JUN")</f>
        <v>JUN</v>
      </c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35" t="s">
        <v>90</v>
      </c>
      <c r="B100" s="45">
        <v>253.0</v>
      </c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)"),"10139931473")</f>
        <v>10139931473</v>
      </c>
      <c r="D100" s="44" t="str">
        <f>IFERROR(__xludf.DUMMYFUNCTION("""COMPUTED_VALUE"""),"Loveček")</f>
        <v>Loveček</v>
      </c>
      <c r="E100" s="44" t="str">
        <f>IFERROR(__xludf.DUMMYFUNCTION("""COMPUTED_VALUE"""),"Jakub")</f>
        <v>Jakub</v>
      </c>
      <c r="F100" s="44" t="str">
        <f>IFERROR(__xludf.DUMMYFUNCTION("""COMPUTED_VALUE"""),"CZE")</f>
        <v>CZE</v>
      </c>
      <c r="G100" s="44" t="str">
        <f>IFERROR(__xludf.DUMMYFUNCTION("""COMPUTED_VALUE"""),"MAPEI MERIDA KAŇKOVSKÝ")</f>
        <v>MAPEI MERIDA KAŇKOVSKÝ</v>
      </c>
      <c r="H100" s="44" t="str">
        <f>IFERROR(__xludf.DUMMYFUNCTION("""COMPUTED_VALUE"""),"JUN")</f>
        <v>JUN</v>
      </c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35" t="s">
        <v>90</v>
      </c>
      <c r="B101" s="45">
        <v>229.0</v>
      </c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)"),"10106072716")</f>
        <v>10106072716</v>
      </c>
      <c r="D101" s="44" t="str">
        <f>IFERROR(__xludf.DUMMYFUNCTION("""COMPUTED_VALUE"""),"Volf")</f>
        <v>Volf</v>
      </c>
      <c r="E101" s="44" t="str">
        <f>IFERROR(__xludf.DUMMYFUNCTION("""COMPUTED_VALUE"""),"Martin")</f>
        <v>Martin</v>
      </c>
      <c r="F101" s="44" t="str">
        <f>IFERROR(__xludf.DUMMYFUNCTION("""COMPUTED_VALUE"""),"CZE")</f>
        <v>CZE</v>
      </c>
      <c r="G101" s="44" t="str">
        <f>IFERROR(__xludf.DUMMYFUNCTION("""COMPUTED_VALUE"""),"FIEGE VELO AKADEMIE")</f>
        <v>FIEGE VELO AKADEMIE</v>
      </c>
      <c r="H101" s="44" t="str">
        <f>IFERROR(__xludf.DUMMYFUNCTION("""COMPUTED_VALUE"""),"JUN")</f>
        <v>JUN</v>
      </c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35" t="s">
        <v>90</v>
      </c>
      <c r="B102" s="45">
        <v>258.0</v>
      </c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)"),"10096970173")</f>
        <v>10096970173</v>
      </c>
      <c r="D102" s="44" t="str">
        <f>IFERROR(__xludf.DUMMYFUNCTION("""COMPUTED_VALUE"""),"Badegruber")</f>
        <v>Badegruber</v>
      </c>
      <c r="E102" s="44" t="str">
        <f>IFERROR(__xludf.DUMMYFUNCTION("""COMPUTED_VALUE"""),"Lars")</f>
        <v>Lars</v>
      </c>
      <c r="F102" s="44" t="str">
        <f>IFERROR(__xludf.DUMMYFUNCTION("""COMPUTED_VALUE"""),"AUT")</f>
        <v>AUT</v>
      </c>
      <c r="G102" s="44" t="str">
        <f>IFERROR(__xludf.DUMMYFUNCTION("""COMPUTED_VALUE"""),"RCO BOA WELS")</f>
        <v>RCO BOA WELS</v>
      </c>
      <c r="H102" s="44" t="str">
        <f>IFERROR(__xludf.DUMMYFUNCTION("""COMPUTED_VALUE"""),"JUN")</f>
        <v>JUN</v>
      </c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35" t="s">
        <v>90</v>
      </c>
      <c r="B103" s="45">
        <v>208.0</v>
      </c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)"),"10149819211")</f>
        <v>10149819211</v>
      </c>
      <c r="D103" s="44" t="str">
        <f>IFERROR(__xludf.DUMMYFUNCTION("""COMPUTED_VALUE"""),"Jelen")</f>
        <v>Jelen</v>
      </c>
      <c r="E103" s="44" t="str">
        <f>IFERROR(__xludf.DUMMYFUNCTION("""COMPUTED_VALUE"""),"Zdeněk")</f>
        <v>Zdeněk</v>
      </c>
      <c r="F103" s="44" t="str">
        <f>IFERROR(__xludf.DUMMYFUNCTION("""COMPUTED_VALUE"""),"CZE")</f>
        <v>CZE</v>
      </c>
      <c r="G103" s="44" t="str">
        <f>IFERROR(__xludf.DUMMYFUNCTION("""COMPUTED_VALUE"""),"BB Com Devcity")</f>
        <v>BB Com Devcity</v>
      </c>
      <c r="H103" s="44" t="str">
        <f>IFERROR(__xludf.DUMMYFUNCTION("""COMPUTED_VALUE"""),"JUN")</f>
        <v>JUN</v>
      </c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35" t="s">
        <v>90</v>
      </c>
      <c r="B104" s="45">
        <v>230.0</v>
      </c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)"),"10157757851")</f>
        <v>10157757851</v>
      </c>
      <c r="D104" s="44" t="str">
        <f>IFERROR(__xludf.DUMMYFUNCTION("""COMPUTED_VALUE"""),"Barbořík")</f>
        <v>Barbořík</v>
      </c>
      <c r="E104" s="44" t="str">
        <f>IFERROR(__xludf.DUMMYFUNCTION("""COMPUTED_VALUE"""),"Patrik")</f>
        <v>Patrik</v>
      </c>
      <c r="F104" s="44" t="str">
        <f>IFERROR(__xludf.DUMMYFUNCTION("""COMPUTED_VALUE"""),"CZE")</f>
        <v>CZE</v>
      </c>
      <c r="G104" s="44" t="str">
        <f>IFERROR(__xludf.DUMMYFUNCTION("""COMPUTED_VALUE"""),"FORCE cycling team Zlín")</f>
        <v>FORCE cycling team Zlín</v>
      </c>
      <c r="H104" s="44" t="str">
        <f>IFERROR(__xludf.DUMMYFUNCTION("""COMPUTED_VALUE"""),"JUN")</f>
        <v>JUN</v>
      </c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35" t="s">
        <v>90</v>
      </c>
      <c r="B105" s="45">
        <v>236.0</v>
      </c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)"),"10167029940")</f>
        <v>10167029940</v>
      </c>
      <c r="D105" s="44" t="str">
        <f>IFERROR(__xludf.DUMMYFUNCTION("""COMPUTED_VALUE"""),"Senohrábek")</f>
        <v>Senohrábek</v>
      </c>
      <c r="E105" s="44" t="str">
        <f>IFERROR(__xludf.DUMMYFUNCTION("""COMPUTED_VALUE"""),"Marek")</f>
        <v>Marek</v>
      </c>
      <c r="F105" s="44" t="str">
        <f>IFERROR(__xludf.DUMMYFUNCTION("""COMPUTED_VALUE"""),"CZE")</f>
        <v>CZE</v>
      </c>
      <c r="G105" s="44" t="str">
        <f>IFERROR(__xludf.DUMMYFUNCTION("""COMPUTED_VALUE"""),"LAWI Junior team")</f>
        <v>LAWI Junior team</v>
      </c>
      <c r="H105" s="44" t="str">
        <f>IFERROR(__xludf.DUMMYFUNCTION("""COMPUTED_VALUE"""),"JUN")</f>
        <v>JUN</v>
      </c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35" t="s">
        <v>90</v>
      </c>
      <c r="B106" s="45">
        <v>239.0</v>
      </c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)"),"10059269307")</f>
        <v>10059269307</v>
      </c>
      <c r="D106" s="44" t="str">
        <f>IFERROR(__xludf.DUMMYFUNCTION("""COMPUTED_VALUE"""),"Tóth")</f>
        <v>Tóth</v>
      </c>
      <c r="E106" s="44" t="str">
        <f>IFERROR(__xludf.DUMMYFUNCTION("""COMPUTED_VALUE"""),"Márk")</f>
        <v>Márk</v>
      </c>
      <c r="F106" s="44" t="str">
        <f>IFERROR(__xludf.DUMMYFUNCTION("""COMPUTED_VALUE"""),"HUN")</f>
        <v>HUN</v>
      </c>
      <c r="G106" s="44" t="str">
        <f>IFERROR(__xludf.DUMMYFUNCTION("""COMPUTED_VALUE"""),"Lotus Team")</f>
        <v>Lotus Team</v>
      </c>
      <c r="H106" s="44" t="str">
        <f>IFERROR(__xludf.DUMMYFUNCTION("""COMPUTED_VALUE"""),"JUN")</f>
        <v>JUN</v>
      </c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35" t="s">
        <v>37</v>
      </c>
      <c r="B107" s="45">
        <v>217.0</v>
      </c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)"),"10106421411")</f>
        <v>10106421411</v>
      </c>
      <c r="D107" s="44" t="str">
        <f>IFERROR(__xludf.DUMMYFUNCTION("""COMPUTED_VALUE"""),"Voborník")</f>
        <v>Voborník</v>
      </c>
      <c r="E107" s="44" t="str">
        <f>IFERROR(__xludf.DUMMYFUNCTION("""COMPUTED_VALUE"""),"Filip")</f>
        <v>Filip</v>
      </c>
      <c r="F107" s="44" t="str">
        <f>IFERROR(__xludf.DUMMYFUNCTION("""COMPUTED_VALUE"""),"CZE")</f>
        <v>CZE</v>
      </c>
      <c r="G107" s="44" t="str">
        <f>IFERROR(__xludf.DUMMYFUNCTION("""COMPUTED_VALUE"""),"BRILON RACING TEAM MB")</f>
        <v>BRILON RACING TEAM MB</v>
      </c>
      <c r="H107" s="44" t="str">
        <f>IFERROR(__xludf.DUMMYFUNCTION("""COMPUTED_VALUE"""),"JUN")</f>
        <v>JUN</v>
      </c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35" t="s">
        <v>37</v>
      </c>
      <c r="B108" s="45">
        <v>226.0</v>
      </c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)"),"10154690429")</f>
        <v>10154690429</v>
      </c>
      <c r="D108" s="44" t="str">
        <f>IFERROR(__xludf.DUMMYFUNCTION("""COMPUTED_VALUE"""),"Karel")</f>
        <v>Karel</v>
      </c>
      <c r="E108" s="44" t="str">
        <f>IFERROR(__xludf.DUMMYFUNCTION("""COMPUTED_VALUE"""),"Miroslav")</f>
        <v>Miroslav</v>
      </c>
      <c r="F108" s="44" t="str">
        <f>IFERROR(__xludf.DUMMYFUNCTION("""COMPUTED_VALUE"""),"CZE")</f>
        <v>CZE</v>
      </c>
      <c r="G108" s="44" t="str">
        <f>IFERROR(__xludf.DUMMYFUNCTION("""COMPUTED_VALUE"""),"FIEGE VELO AKADEMIE")</f>
        <v>FIEGE VELO AKADEMIE</v>
      </c>
      <c r="H108" s="44" t="str">
        <f>IFERROR(__xludf.DUMMYFUNCTION("""COMPUTED_VALUE"""),"JUN")</f>
        <v>JUN</v>
      </c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35" t="s">
        <v>37</v>
      </c>
      <c r="B109" s="45">
        <v>231.0</v>
      </c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)"),"10059495639")</f>
        <v>10059495639</v>
      </c>
      <c r="D109" s="44" t="str">
        <f>IFERROR(__xludf.DUMMYFUNCTION("""COMPUTED_VALUE"""),"Barna")</f>
        <v>Barna</v>
      </c>
      <c r="E109" s="44" t="str">
        <f>IFERROR(__xludf.DUMMYFUNCTION("""COMPUTED_VALUE"""),"Péter")</f>
        <v>Péter</v>
      </c>
      <c r="F109" s="44" t="str">
        <f>IFERROR(__xludf.DUMMYFUNCTION("""COMPUTED_VALUE"""),"HUN")</f>
        <v>HUN</v>
      </c>
      <c r="G109" s="44" t="str">
        <f>IFERROR(__xludf.DUMMYFUNCTION("""COMPUTED_VALUE"""),"Green Riders Cycling Team")</f>
        <v>Green Riders Cycling Team</v>
      </c>
      <c r="H109" s="44" t="str">
        <f>IFERROR(__xludf.DUMMYFUNCTION("""COMPUTED_VALUE"""),"JUN")</f>
        <v>JUN</v>
      </c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35" t="s">
        <v>37</v>
      </c>
      <c r="B110" s="45">
        <v>232.0</v>
      </c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)"),"10155817447")</f>
        <v>10155817447</v>
      </c>
      <c r="D110" s="44" t="str">
        <f>IFERROR(__xludf.DUMMYFUNCTION("""COMPUTED_VALUE"""),"Barna")</f>
        <v>Barna</v>
      </c>
      <c r="E110" s="44" t="str">
        <f>IFERROR(__xludf.DUMMYFUNCTION("""COMPUTED_VALUE"""),"Flaskay- Faragó")</f>
        <v>Flaskay- Faragó</v>
      </c>
      <c r="F110" s="44" t="str">
        <f>IFERROR(__xludf.DUMMYFUNCTION("""COMPUTED_VALUE"""),"HUN")</f>
        <v>HUN</v>
      </c>
      <c r="G110" s="44" t="str">
        <f>IFERROR(__xludf.DUMMYFUNCTION("""COMPUTED_VALUE"""),"Green Riders Cycling Team")</f>
        <v>Green Riders Cycling Team</v>
      </c>
      <c r="H110" s="44" t="str">
        <f>IFERROR(__xludf.DUMMYFUNCTION("""COMPUTED_VALUE"""),"JUN")</f>
        <v>JUN</v>
      </c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35" t="s">
        <v>37</v>
      </c>
      <c r="B111" s="45">
        <v>237.0</v>
      </c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)"),"10123800777")</f>
        <v>10123800777</v>
      </c>
      <c r="D111" s="44" t="str">
        <f>IFERROR(__xludf.DUMMYFUNCTION("""COMPUTED_VALUE"""),"Soós")</f>
        <v>Soós</v>
      </c>
      <c r="E111" s="44" t="str">
        <f>IFERROR(__xludf.DUMMYFUNCTION("""COMPUTED_VALUE"""),"Olivér")</f>
        <v>Olivér</v>
      </c>
      <c r="F111" s="44" t="str">
        <f>IFERROR(__xludf.DUMMYFUNCTION("""COMPUTED_VALUE"""),"HUN")</f>
        <v>HUN</v>
      </c>
      <c r="G111" s="44" t="str">
        <f>IFERROR(__xludf.DUMMYFUNCTION("""COMPUTED_VALUE"""),"Lotus Team")</f>
        <v>Lotus Team</v>
      </c>
      <c r="H111" s="44" t="str">
        <f>IFERROR(__xludf.DUMMYFUNCTION("""COMPUTED_VALUE"""),"JUN")</f>
        <v>JUN</v>
      </c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35" t="s">
        <v>37</v>
      </c>
      <c r="B112" s="45">
        <v>242.0</v>
      </c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)"),"10113627396")</f>
        <v>10113627396</v>
      </c>
      <c r="D112" s="44" t="str">
        <f>IFERROR(__xludf.DUMMYFUNCTION("""COMPUTED_VALUE"""),"Trišić")</f>
        <v>Trišić</v>
      </c>
      <c r="E112" s="44" t="str">
        <f>IFERROR(__xludf.DUMMYFUNCTION("""COMPUTED_VALUE"""),"Vuk")</f>
        <v>Vuk</v>
      </c>
      <c r="F112" s="44" t="str">
        <f>IFERROR(__xludf.DUMMYFUNCTION("""COMPUTED_VALUE"""),"SRB")</f>
        <v>SRB</v>
      </c>
      <c r="G112" s="44" t="str">
        <f>IFERROR(__xludf.DUMMYFUNCTION("""COMPUTED_VALUE"""),"Lotus Team")</f>
        <v>Lotus Team</v>
      </c>
      <c r="H112" s="44" t="str">
        <f>IFERROR(__xludf.DUMMYFUNCTION("""COMPUTED_VALUE"""),"JUN")</f>
        <v>JUN</v>
      </c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35" t="s">
        <v>37</v>
      </c>
      <c r="B113" s="45">
        <v>257.0</v>
      </c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)"),"101 023 731 74")</f>
        <v>101 023 731 74</v>
      </c>
      <c r="D113" s="44" t="str">
        <f>IFERROR(__xludf.DUMMYFUNCTION("""COMPUTED_VALUE"""),"Preslmayr")</f>
        <v>Preslmayr</v>
      </c>
      <c r="E113" s="44" t="str">
        <f>IFERROR(__xludf.DUMMYFUNCTION("""COMPUTED_VALUE"""),"Theo")</f>
        <v>Theo</v>
      </c>
      <c r="F113" s="44" t="str">
        <f>IFERROR(__xludf.DUMMYFUNCTION("""COMPUTED_VALUE"""),"AUT")</f>
        <v>AUT</v>
      </c>
      <c r="G113" s="44" t="str">
        <f>IFERROR(__xludf.DUMMYFUNCTION("""COMPUTED_VALUE"""),"RC ARBÖ Auto Eder Walding")</f>
        <v>RC ARBÖ Auto Eder Walding</v>
      </c>
      <c r="H113" s="44" t="str">
        <f>IFERROR(__xludf.DUMMYFUNCTION("""COMPUTED_VALUE"""),"JUN")</f>
        <v>JUN</v>
      </c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35" t="s">
        <v>37</v>
      </c>
      <c r="B114" s="45">
        <v>272.0</v>
      </c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)"),"10047455919")</f>
        <v>10047455919</v>
      </c>
      <c r="D114" s="44" t="str">
        <f>IFERROR(__xludf.DUMMYFUNCTION("""COMPUTED_VALUE"""),"Ciboch")</f>
        <v>Ciboch</v>
      </c>
      <c r="E114" s="44" t="str">
        <f>IFERROR(__xludf.DUMMYFUNCTION("""COMPUTED_VALUE"""),"Ondřej")</f>
        <v>Ondřej</v>
      </c>
      <c r="F114" s="44" t="str">
        <f>IFERROR(__xludf.DUMMYFUNCTION("""COMPUTED_VALUE"""),"CZE")</f>
        <v>CZE</v>
      </c>
      <c r="G114" s="44" t="str">
        <f>IFERROR(__xludf.DUMMYFUNCTION("""COMPUTED_VALUE"""),"Roman Kreuziger Cycling Academy")</f>
        <v>Roman Kreuziger Cycling Academy</v>
      </c>
      <c r="H114" s="44" t="str">
        <f>IFERROR(__xludf.DUMMYFUNCTION("""COMPUTED_VALUE"""),"JUN")</f>
        <v>JUN</v>
      </c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35" t="s">
        <v>37</v>
      </c>
      <c r="B115" s="45">
        <v>281.0</v>
      </c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)"),"100 461 072 15")</f>
        <v>100 461 072 15</v>
      </c>
      <c r="D115" s="44" t="str">
        <f>IFERROR(__xludf.DUMMYFUNCTION("""COMPUTED_VALUE"""),"Mikuš")</f>
        <v>Mikuš</v>
      </c>
      <c r="E115" s="44" t="str">
        <f>IFERROR(__xludf.DUMMYFUNCTION("""COMPUTED_VALUE"""),"Jakub")</f>
        <v>Jakub</v>
      </c>
      <c r="F115" s="44" t="str">
        <f>IFERROR(__xludf.DUMMYFUNCTION("""COMPUTED_VALUE"""),"SVK")</f>
        <v>SVK</v>
      </c>
      <c r="G115" s="44" t="str">
        <f>IFERROR(__xludf.DUMMYFUNCTION("""COMPUTED_VALUE"""),"Slávia Trenčín")</f>
        <v>Slávia Trenčín</v>
      </c>
      <c r="H115" s="44" t="str">
        <f>IFERROR(__xludf.DUMMYFUNCTION("""COMPUTED_VALUE"""),"JUN")</f>
        <v>JUN</v>
      </c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35" t="s">
        <v>37</v>
      </c>
      <c r="B116" s="45">
        <v>291.0</v>
      </c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)"),"10093341161")</f>
        <v>10093341161</v>
      </c>
      <c r="D116" s="44" t="str">
        <f>IFERROR(__xludf.DUMMYFUNCTION("""COMPUTED_VALUE"""),"Hasal")</f>
        <v>Hasal</v>
      </c>
      <c r="E116" s="44" t="str">
        <f>IFERROR(__xludf.DUMMYFUNCTION("""COMPUTED_VALUE"""),"Lukáš")</f>
        <v>Lukáš</v>
      </c>
      <c r="F116" s="44" t="str">
        <f>IFERROR(__xludf.DUMMYFUNCTION("""COMPUTED_VALUE"""),"CZE")</f>
        <v>CZE</v>
      </c>
      <c r="G116" s="44" t="str">
        <f>IFERROR(__xludf.DUMMYFUNCTION("""COMPUTED_VALUE"""),"Team Dukla Praha")</f>
        <v>Team Dukla Praha</v>
      </c>
      <c r="H116" s="44" t="str">
        <f>IFERROR(__xludf.DUMMYFUNCTION("""COMPUTED_VALUE"""),"JUN")</f>
        <v>JUN</v>
      </c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35" t="s">
        <v>37</v>
      </c>
      <c r="B117" s="45">
        <v>295.0</v>
      </c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)"),"10142838746")</f>
        <v>10142838746</v>
      </c>
      <c r="D117" s="44" t="str">
        <f>IFERROR(__xludf.DUMMYFUNCTION("""COMPUTED_VALUE"""),"Oswald")</f>
        <v>Oswald</v>
      </c>
      <c r="E117" s="44" t="str">
        <f>IFERROR(__xludf.DUMMYFUNCTION("""COMPUTED_VALUE"""),"Vít")</f>
        <v>Vít</v>
      </c>
      <c r="F117" s="44" t="str">
        <f>IFERROR(__xludf.DUMMYFUNCTION("""COMPUTED_VALUE"""),"CZE")</f>
        <v>CZE</v>
      </c>
      <c r="G117" s="44" t="str">
        <f>IFERROR(__xludf.DUMMYFUNCTION("""COMPUTED_VALUE"""),"Team Forman Energetic")</f>
        <v>Team Forman Energetic</v>
      </c>
      <c r="H117" s="44" t="str">
        <f>IFERROR(__xludf.DUMMYFUNCTION("""COMPUTED_VALUE"""),"JUN")</f>
        <v>JUN</v>
      </c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35" t="s">
        <v>37</v>
      </c>
      <c r="B118" s="45">
        <v>454.0</v>
      </c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)"),"10128197406")</f>
        <v>10128197406</v>
      </c>
      <c r="D118" s="44" t="str">
        <f>IFERROR(__xludf.DUMMYFUNCTION("""COMPUTED_VALUE"""),"SKLÁŘ")</f>
        <v>SKLÁŘ</v>
      </c>
      <c r="E118" s="44" t="str">
        <f>IFERROR(__xludf.DUMMYFUNCTION("""COMPUTED_VALUE"""),"Jakub")</f>
        <v>Jakub</v>
      </c>
      <c r="F118" s="44" t="str">
        <f>IFERROR(__xludf.DUMMYFUNCTION("""COMPUTED_VALUE"""),"CZE")</f>
        <v>CZE</v>
      </c>
      <c r="G118" s="44" t="str">
        <f>IFERROR(__xludf.DUMMYFUNCTION("""COMPUTED_VALUE"""),"TJ FAVORIT BRNO")</f>
        <v>TJ FAVORIT BRNO</v>
      </c>
      <c r="H118" s="44" t="str">
        <f>IFERROR(__xludf.DUMMYFUNCTION("""COMPUTED_VALUE"""),"JUN")</f>
        <v>JUN</v>
      </c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35" t="s">
        <v>37</v>
      </c>
      <c r="B119" s="45">
        <v>457.0</v>
      </c>
      <c r="C119" s="37" t="str">
        <f>IFERROR(__xludf.DUMMYFUNCTION("IFERROR(
QUERY(
IMPORTRANGE(""1TegarCDw2dx-vCuwksNSPnqrAOJXGYg_ek3_j9ooJnQ"",""List1!B:H""),
""select Col2,Col3,Col4,Col5,Col6,Col7 where Col1='""&amp;B119&amp;""' and Col7='""&amp;$B$9&amp;""'"",
0
),
""""
)"),"10120198138")</f>
        <v>10120198138</v>
      </c>
      <c r="D119" s="44" t="str">
        <f>IFERROR(__xludf.DUMMYFUNCTION("""COMPUTED_VALUE"""),"Drcmánek")</f>
        <v>Drcmánek</v>
      </c>
      <c r="E119" s="44" t="str">
        <f>IFERROR(__xludf.DUMMYFUNCTION("""COMPUTED_VALUE"""),"Arnošt")</f>
        <v>Arnošt</v>
      </c>
      <c r="F119" s="44" t="str">
        <f>IFERROR(__xludf.DUMMYFUNCTION("""COMPUTED_VALUE"""),"CZE")</f>
        <v>CZE</v>
      </c>
      <c r="G119" s="44" t="str">
        <f>IFERROR(__xludf.DUMMYFUNCTION("""COMPUTED_VALUE"""),"TUFO PARDUS Prostějov")</f>
        <v>TUFO PARDUS Prostějov</v>
      </c>
      <c r="H119" s="44" t="str">
        <f>IFERROR(__xludf.DUMMYFUNCTION("""COMPUTED_VALUE"""),"JUN")</f>
        <v>JUN</v>
      </c>
      <c r="I119" s="4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35" t="s">
        <v>37</v>
      </c>
      <c r="B120" s="45">
        <v>460.0</v>
      </c>
      <c r="C120" s="37" t="str">
        <f>IFERROR(__xludf.DUMMYFUNCTION("IFERROR(
QUERY(
IMPORTRANGE(""1TegarCDw2dx-vCuwksNSPnqrAOJXGYg_ek3_j9ooJnQ"",""List1!B:H""),
""select Col2,Col3,Col4,Col5,Col6,Col7 where Col1='""&amp;B120&amp;""' and Col7='""&amp;$B$9&amp;""'"",
0
),
""""
)"),"10078233413")</f>
        <v>10078233413</v>
      </c>
      <c r="D120" s="44" t="str">
        <f>IFERROR(__xludf.DUMMYFUNCTION("""COMPUTED_VALUE"""),"Žufánek")</f>
        <v>Žufánek</v>
      </c>
      <c r="E120" s="44" t="str">
        <f>IFERROR(__xludf.DUMMYFUNCTION("""COMPUTED_VALUE"""),"Antonín")</f>
        <v>Antonín</v>
      </c>
      <c r="F120" s="44" t="str">
        <f>IFERROR(__xludf.DUMMYFUNCTION("""COMPUTED_VALUE"""),"CZE")</f>
        <v>CZE</v>
      </c>
      <c r="G120" s="44" t="str">
        <f>IFERROR(__xludf.DUMMYFUNCTION("""COMPUTED_VALUE"""),"TUFO PARDUS Prostějov")</f>
        <v>TUFO PARDUS Prostějov</v>
      </c>
      <c r="H120" s="44" t="str">
        <f>IFERROR(__xludf.DUMMYFUNCTION("""COMPUTED_VALUE"""),"JUN")</f>
        <v>JUN</v>
      </c>
      <c r="I120" s="4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35" t="s">
        <v>37</v>
      </c>
      <c r="B121" s="45">
        <v>468.0</v>
      </c>
      <c r="C121" s="37" t="str">
        <f>IFERROR(__xludf.DUMMYFUNCTION("IFERROR(
QUERY(
IMPORTRANGE(""1TegarCDw2dx-vCuwksNSPnqrAOJXGYg_ek3_j9ooJnQ"",""List1!B:H""),
""select Col2,Col3,Col4,Col5,Col6,Col7 where Col1='""&amp;B121&amp;""' and Col7='""&amp;$B$9&amp;""'"",
0
),
""""
)"),"10163713247")</f>
        <v>10163713247</v>
      </c>
      <c r="D121" s="44" t="str">
        <f>IFERROR(__xludf.DUMMYFUNCTION("""COMPUTED_VALUE"""),"WROŃSKI")</f>
        <v>WROŃSKI</v>
      </c>
      <c r="E121" s="44" t="str">
        <f>IFERROR(__xludf.DUMMYFUNCTION("""COMPUTED_VALUE"""),"SZYMON")</f>
        <v>SZYMON</v>
      </c>
      <c r="F121" s="44" t="str">
        <f>IFERROR(__xludf.DUMMYFUNCTION("""COMPUTED_VALUE"""),"POL")</f>
        <v>POL</v>
      </c>
      <c r="G121" s="44" t="str">
        <f>IFERROR(__xludf.DUMMYFUNCTION("""COMPUTED_VALUE"""),"UKS AVATAR SILSIA TEAM")</f>
        <v>UKS AVATAR SILSIA TEAM</v>
      </c>
      <c r="H121" s="44" t="str">
        <f>IFERROR(__xludf.DUMMYFUNCTION("""COMPUTED_VALUE"""),"JUN")</f>
        <v>JUN</v>
      </c>
      <c r="I121" s="4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35" t="s">
        <v>39</v>
      </c>
      <c r="B122" s="45"/>
      <c r="C122" s="41">
        <v>1.0107273593E10</v>
      </c>
      <c r="D122" s="49" t="s">
        <v>133</v>
      </c>
      <c r="E122" s="49" t="s">
        <v>134</v>
      </c>
      <c r="F122" s="49" t="s">
        <v>42</v>
      </c>
      <c r="G122" s="49" t="s">
        <v>93</v>
      </c>
      <c r="H122" s="49" t="s">
        <v>132</v>
      </c>
      <c r="I122" s="4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35" t="s">
        <v>39</v>
      </c>
      <c r="B123" s="45"/>
      <c r="C123" s="41">
        <v>1.0137604281E10</v>
      </c>
      <c r="D123" s="49" t="s">
        <v>135</v>
      </c>
      <c r="E123" s="49" t="s">
        <v>136</v>
      </c>
      <c r="F123" s="49" t="s">
        <v>42</v>
      </c>
      <c r="G123" s="49" t="s">
        <v>56</v>
      </c>
      <c r="H123" s="49" t="s">
        <v>132</v>
      </c>
      <c r="I123" s="4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35" t="s">
        <v>39</v>
      </c>
      <c r="B124" s="45"/>
      <c r="C124" s="41">
        <v>1.0172952903E10</v>
      </c>
      <c r="D124" s="49" t="s">
        <v>137</v>
      </c>
      <c r="E124" s="49" t="s">
        <v>138</v>
      </c>
      <c r="F124" s="49" t="s">
        <v>42</v>
      </c>
      <c r="G124" s="49" t="s">
        <v>56</v>
      </c>
      <c r="H124" s="49" t="s">
        <v>132</v>
      </c>
      <c r="I124" s="4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35" t="s">
        <v>39</v>
      </c>
      <c r="B125" s="45"/>
      <c r="C125" s="37"/>
      <c r="D125" s="49" t="s">
        <v>139</v>
      </c>
      <c r="E125" s="49" t="s">
        <v>115</v>
      </c>
      <c r="F125" s="49" t="s">
        <v>42</v>
      </c>
      <c r="G125" s="49" t="s">
        <v>56</v>
      </c>
      <c r="H125" s="49" t="s">
        <v>132</v>
      </c>
      <c r="I125" s="43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35" t="s">
        <v>39</v>
      </c>
      <c r="B126" s="45"/>
      <c r="C126" s="41">
        <v>1.0046082155E10</v>
      </c>
      <c r="D126" s="49" t="s">
        <v>140</v>
      </c>
      <c r="E126" s="49" t="s">
        <v>141</v>
      </c>
      <c r="F126" s="49" t="s">
        <v>49</v>
      </c>
      <c r="G126" s="49" t="s">
        <v>70</v>
      </c>
      <c r="H126" s="49" t="s">
        <v>132</v>
      </c>
      <c r="I126" s="43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35" t="s">
        <v>39</v>
      </c>
      <c r="B127" s="45"/>
      <c r="C127" s="41">
        <v>1.0164078514E10</v>
      </c>
      <c r="D127" s="49" t="s">
        <v>142</v>
      </c>
      <c r="E127" s="49" t="s">
        <v>143</v>
      </c>
      <c r="F127" s="49" t="s">
        <v>144</v>
      </c>
      <c r="G127" s="49" t="s">
        <v>145</v>
      </c>
      <c r="H127" s="49" t="s">
        <v>132</v>
      </c>
      <c r="I127" s="43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35" t="s">
        <v>39</v>
      </c>
      <c r="B128" s="45"/>
      <c r="C128" s="41">
        <v>1.0067562096E10</v>
      </c>
      <c r="D128" s="49" t="s">
        <v>146</v>
      </c>
      <c r="E128" s="49" t="s">
        <v>115</v>
      </c>
      <c r="F128" s="49" t="s">
        <v>49</v>
      </c>
      <c r="G128" s="49" t="s">
        <v>147</v>
      </c>
      <c r="H128" s="49" t="s">
        <v>132</v>
      </c>
      <c r="I128" s="43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35" t="s">
        <v>39</v>
      </c>
      <c r="B129" s="45"/>
      <c r="C129" s="41">
        <v>1.0092930125E10</v>
      </c>
      <c r="D129" s="49" t="s">
        <v>148</v>
      </c>
      <c r="E129" s="49" t="s">
        <v>149</v>
      </c>
      <c r="F129" s="49" t="s">
        <v>42</v>
      </c>
      <c r="G129" s="49" t="s">
        <v>150</v>
      </c>
      <c r="H129" s="49" t="s">
        <v>132</v>
      </c>
      <c r="I129" s="43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35" t="s">
        <v>39</v>
      </c>
      <c r="B130" s="45"/>
      <c r="C130" s="41">
        <v>1.0105771612E10</v>
      </c>
      <c r="D130" s="49" t="s">
        <v>151</v>
      </c>
      <c r="E130" s="49" t="s">
        <v>119</v>
      </c>
      <c r="F130" s="49" t="s">
        <v>42</v>
      </c>
      <c r="G130" s="49" t="s">
        <v>150</v>
      </c>
      <c r="H130" s="49" t="s">
        <v>132</v>
      </c>
      <c r="I130" s="43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35" t="s">
        <v>39</v>
      </c>
      <c r="B131" s="45"/>
      <c r="C131" s="41">
        <v>1.0054142249E10</v>
      </c>
      <c r="D131" s="49" t="s">
        <v>152</v>
      </c>
      <c r="E131" s="49" t="s">
        <v>153</v>
      </c>
      <c r="F131" s="49" t="s">
        <v>42</v>
      </c>
      <c r="G131" s="49" t="s">
        <v>61</v>
      </c>
      <c r="H131" s="49" t="s">
        <v>132</v>
      </c>
      <c r="I131" s="43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35" t="s">
        <v>39</v>
      </c>
      <c r="B132" s="47"/>
      <c r="C132" s="52">
        <v>1.0127230335E10</v>
      </c>
      <c r="D132" s="52" t="s">
        <v>154</v>
      </c>
      <c r="E132" s="52" t="s">
        <v>155</v>
      </c>
      <c r="F132" s="52" t="s">
        <v>42</v>
      </c>
      <c r="G132" s="52" t="s">
        <v>76</v>
      </c>
      <c r="H132" s="52" t="s">
        <v>132</v>
      </c>
      <c r="I132" s="47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8"/>
      <c r="B133" s="18"/>
      <c r="C133" s="18"/>
      <c r="D133" s="18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8"/>
      <c r="B134" s="18"/>
      <c r="C134" s="18"/>
      <c r="D134" s="18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8"/>
      <c r="B135" s="18"/>
      <c r="C135" s="18"/>
      <c r="D135" s="18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8" t="s">
        <v>63</v>
      </c>
      <c r="C136" s="18">
        <v>30.0</v>
      </c>
      <c r="D136" s="18" t="s">
        <v>64</v>
      </c>
      <c r="E136" s="14"/>
      <c r="F136" s="14"/>
      <c r="G136" s="18" t="s">
        <v>65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8" t="s">
        <v>66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8" t="s">
        <v>67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  <row r="1094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</row>
    <row r="1095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</row>
    <row r="1096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</row>
    <row r="1097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</row>
    <row r="1098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</row>
    <row r="1099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</row>
    <row r="1100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</row>
    <row r="110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</row>
    <row r="1102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</row>
    <row r="1103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</row>
    <row r="1104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</row>
    <row r="1105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</row>
    <row r="1106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</row>
  </sheetData>
  <mergeCells count="10">
    <mergeCell ref="A12:B12"/>
    <mergeCell ref="A136:B136"/>
    <mergeCell ref="A138:B138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B26B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9.75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156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157</v>
      </c>
      <c r="C9" s="21"/>
      <c r="D9" s="23" t="s">
        <v>18</v>
      </c>
      <c r="E9" s="24">
        <v>80.0</v>
      </c>
      <c r="F9" s="21"/>
      <c r="G9" s="23" t="s">
        <v>21</v>
      </c>
      <c r="H9" s="25">
        <f>IF(OR(E9="",E10=""),"",(E9/(E10*24)))</f>
        <v>42.57206208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53">
        <v>0.07829861111111111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60.0</v>
      </c>
      <c r="D12" s="18" t="s">
        <v>25</v>
      </c>
      <c r="E12" s="26">
        <v>55.0</v>
      </c>
      <c r="F12" s="28"/>
      <c r="G12" s="18" t="s">
        <v>26</v>
      </c>
      <c r="H12" s="26">
        <v>22.0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618.0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)"),"10105621765")</f>
        <v>10105621765</v>
      </c>
      <c r="D15" s="37" t="str">
        <f>IFERROR(__xludf.DUMMYFUNCTION("""COMPUTED_VALUE"""),"Zeťák")</f>
        <v>Zeťák</v>
      </c>
      <c r="E15" s="37" t="str">
        <f>IFERROR(__xludf.DUMMYFUNCTION("""COMPUTED_VALUE"""),"Michael")</f>
        <v>Michael</v>
      </c>
      <c r="F15" s="37" t="str">
        <f>IFERROR(__xludf.DUMMYFUNCTION("""COMPUTED_VALUE"""),"CZE")</f>
        <v>CZE</v>
      </c>
      <c r="G15" s="37" t="str">
        <f>IFERROR(__xludf.DUMMYFUNCTION("""COMPUTED_VALUE"""),"PSG - PRO VÝKON")</f>
        <v>PSG - PRO VÝKON</v>
      </c>
      <c r="H15" s="37" t="str">
        <f>IFERROR(__xludf.DUMMYFUNCTION("""COMPUTED_VALUE"""),"M40")</f>
        <v>M40</v>
      </c>
      <c r="I15" s="39">
        <v>0.07829861111111111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548.0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)"),"10105621765")</f>
        <v>10105621765</v>
      </c>
      <c r="D16" s="37" t="str">
        <f>IFERROR(__xludf.DUMMYFUNCTION("""COMPUTED_VALUE"""),"Strnka")</f>
        <v>Strnka</v>
      </c>
      <c r="E16" s="37" t="str">
        <f>IFERROR(__xludf.DUMMYFUNCTION("""COMPUTED_VALUE"""),"Tomáš")</f>
        <v>Tomáš</v>
      </c>
      <c r="F16" s="37" t="str">
        <f>IFERROR(__xludf.DUMMYFUNCTION("""COMPUTED_VALUE"""),"CZE")</f>
        <v>CZE</v>
      </c>
      <c r="G16" s="37" t="str">
        <f>IFERROR(__xludf.DUMMYFUNCTION("""COMPUTED_VALUE"""),"PSG - PRO VÝKON")</f>
        <v>PSG - PRO VÝKON</v>
      </c>
      <c r="H16" s="37" t="str">
        <f>IFERROR(__xludf.DUMMYFUNCTION("""COMPUTED_VALUE"""),"M40")</f>
        <v>M40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537.0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)"),"10159262361")</f>
        <v>10159262361</v>
      </c>
      <c r="D17" s="37" t="str">
        <f>IFERROR(__xludf.DUMMYFUNCTION("""COMPUTED_VALUE"""),"De Locht")</f>
        <v>De Locht</v>
      </c>
      <c r="E17" s="37" t="str">
        <f>IFERROR(__xludf.DUMMYFUNCTION("""COMPUTED_VALUE"""),"Cisse")</f>
        <v>Cisse</v>
      </c>
      <c r="F17" s="37" t="str">
        <f>IFERROR(__xludf.DUMMYFUNCTION("""COMPUTED_VALUE"""),"BEL")</f>
        <v>BEL</v>
      </c>
      <c r="G17" s="37" t="str">
        <f>IFERROR(__xludf.DUMMYFUNCTION("""COMPUTED_VALUE"""),"Geizhals.at VICC Racing Division")</f>
        <v>Geizhals.at VICC Racing Division</v>
      </c>
      <c r="H17" s="37" t="str">
        <f>IFERROR(__xludf.DUMMYFUNCTION("""COMPUTED_VALUE"""),"M40")</f>
        <v>M40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531.0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)"),"10140572279")</f>
        <v>10140572279</v>
      </c>
      <c r="D18" s="37" t="str">
        <f>IFERROR(__xludf.DUMMYFUNCTION("""COMPUTED_VALUE"""),"František")</f>
        <v>František</v>
      </c>
      <c r="E18" s="37" t="str">
        <f>IFERROR(__xludf.DUMMYFUNCTION("""COMPUTED_VALUE"""),"Trtek")</f>
        <v>Trtek</v>
      </c>
      <c r="F18" s="37" t="str">
        <f>IFERROR(__xludf.DUMMYFUNCTION("""COMPUTED_VALUE"""),"CZE")</f>
        <v>CZE</v>
      </c>
      <c r="G18" s="37" t="str">
        <f>IFERROR(__xludf.DUMMYFUNCTION("""COMPUTED_VALUE"""),"CYKLOSPORT CHROPYNĚ 4GOLD")</f>
        <v>CYKLOSPORT CHROPYNĚ 4GOLD</v>
      </c>
      <c r="H18" s="37" t="str">
        <f>IFERROR(__xludf.DUMMYFUNCTION("""COMPUTED_VALUE"""),"M40")</f>
        <v>M40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532.0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)"),"10153636462")</f>
        <v>10153636462</v>
      </c>
      <c r="D19" s="37" t="str">
        <f>IFERROR(__xludf.DUMMYFUNCTION("""COMPUTED_VALUE"""),"Heidner")</f>
        <v>Heidner</v>
      </c>
      <c r="E19" s="41" t="str">
        <f>IFERROR(__xludf.DUMMYFUNCTION("""COMPUTED_VALUE"""),"Raphael")</f>
        <v>Raphael</v>
      </c>
      <c r="F19" s="37" t="str">
        <f>IFERROR(__xludf.DUMMYFUNCTION("""COMPUTED_VALUE"""),"GER")</f>
        <v>GER</v>
      </c>
      <c r="G19" s="37" t="str">
        <f>IFERROR(__xludf.DUMMYFUNCTION("""COMPUTED_VALUE"""),"Dresdner Sc 1898 e. V.")</f>
        <v>Dresdner Sc 1898 e. V.</v>
      </c>
      <c r="H19" s="37" t="str">
        <f>IFERROR(__xludf.DUMMYFUNCTION("""COMPUTED_VALUE"""),"M40")</f>
        <v>M40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550.0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)"),"10094593976")</f>
        <v>10094593976</v>
      </c>
      <c r="D20" s="37" t="str">
        <f>IFERROR(__xludf.DUMMYFUNCTION("""COMPUTED_VALUE"""),"Petridis")</f>
        <v>Petridis</v>
      </c>
      <c r="E20" s="37" t="str">
        <f>IFERROR(__xludf.DUMMYFUNCTION("""COMPUTED_VALUE"""),"Simon")</f>
        <v>Simon</v>
      </c>
      <c r="F20" s="37" t="str">
        <f>IFERROR(__xludf.DUMMYFUNCTION("""COMPUTED_VALUE"""),"AUT")</f>
        <v>AUT</v>
      </c>
      <c r="G20" s="37" t="str">
        <f>IFERROR(__xludf.DUMMYFUNCTION("""COMPUTED_VALUE"""),"SU Bikestore cc Team")</f>
        <v>SU Bikestore cc Team</v>
      </c>
      <c r="H20" s="37" t="str">
        <f>IFERROR(__xludf.DUMMYFUNCTION("""COMPUTED_VALUE"""),"M40")</f>
        <v>M40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607.0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)"),"10107477600")</f>
        <v>10107477600</v>
      </c>
      <c r="D21" s="37" t="str">
        <f>IFERROR(__xludf.DUMMYFUNCTION("""COMPUTED_VALUE"""),"Frieden")</f>
        <v>Frieden</v>
      </c>
      <c r="E21" s="37" t="str">
        <f>IFERROR(__xludf.DUMMYFUNCTION("""COMPUTED_VALUE"""),"Pol")</f>
        <v>Pol</v>
      </c>
      <c r="F21" s="37" t="str">
        <f>IFERROR(__xludf.DUMMYFUNCTION("""COMPUTED_VALUE"""),"LUX")</f>
        <v>LUX</v>
      </c>
      <c r="G21" s="37" t="str">
        <f>IFERROR(__xludf.DUMMYFUNCTION("""COMPUTED_VALUE"""),"Team Snooze")</f>
        <v>Team Snooze</v>
      </c>
      <c r="H21" s="37" t="str">
        <f>IFERROR(__xludf.DUMMYFUNCTION("""COMPUTED_VALUE"""),"M40")</f>
        <v>M40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546.0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 t="str">
        <f>IFERROR(__xludf.DUMMYFUNCTION("""COMPUTED_VALUE"""),"Kubík")</f>
        <v>Kubík</v>
      </c>
      <c r="E22" s="37" t="str">
        <f>IFERROR(__xludf.DUMMYFUNCTION("""COMPUTED_VALUE"""),"Tomáš")</f>
        <v>Tomáš</v>
      </c>
      <c r="F22" s="37" t="str">
        <f>IFERROR(__xludf.DUMMYFUNCTION("""COMPUTED_VALUE"""),"CZE")</f>
        <v>CZE</v>
      </c>
      <c r="G22" s="37" t="str">
        <f>IFERROR(__xludf.DUMMYFUNCTION("""COMPUTED_VALUE"""),"Open Cycling Academy")</f>
        <v>Open Cycling Academy</v>
      </c>
      <c r="H22" s="37" t="str">
        <f>IFERROR(__xludf.DUMMYFUNCTION("""COMPUTED_VALUE"""),"M40")</f>
        <v>M40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619.0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)"),"10128340579")</f>
        <v>10128340579</v>
      </c>
      <c r="D23" s="37" t="str">
        <f>IFERROR(__xludf.DUMMYFUNCTION("""COMPUTED_VALUE"""),"Kučera")</f>
        <v>Kučera</v>
      </c>
      <c r="E23" s="37" t="str">
        <f>IFERROR(__xludf.DUMMYFUNCTION("""COMPUTED_VALUE"""),"Adam")</f>
        <v>Adam</v>
      </c>
      <c r="F23" s="37" t="str">
        <f>IFERROR(__xludf.DUMMYFUNCTION("""COMPUTED_VALUE"""),"CZE")</f>
        <v>CZE</v>
      </c>
      <c r="G23" s="37" t="str">
        <f>IFERROR(__xludf.DUMMYFUNCTION("""COMPUTED_VALUE"""),"PSG - PRO VÝKON")</f>
        <v>PSG - PRO VÝKON</v>
      </c>
      <c r="H23" s="37" t="str">
        <f>IFERROR(__xludf.DUMMYFUNCTION("""COMPUTED_VALUE"""),"M40")</f>
        <v>M40</v>
      </c>
      <c r="I23" s="39">
        <v>0.0802662037037037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541.0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)"),"10152679091")</f>
        <v>10152679091</v>
      </c>
      <c r="D24" s="37" t="str">
        <f>IFERROR(__xludf.DUMMYFUNCTION("""COMPUTED_VALUE"""),"Mathieu")</f>
        <v>Mathieu</v>
      </c>
      <c r="E24" s="37" t="str">
        <f>IFERROR(__xludf.DUMMYFUNCTION("""COMPUTED_VALUE"""),"Maxime")</f>
        <v>Maxime</v>
      </c>
      <c r="F24" s="37" t="str">
        <f>IFERROR(__xludf.DUMMYFUNCTION("""COMPUTED_VALUE"""),"FRA")</f>
        <v>FRA</v>
      </c>
      <c r="G24" s="37" t="str">
        <f>IFERROR(__xludf.DUMMYFUNCTION("""COMPUTED_VALUE"""),"Geizhals.at VICC Racing Division")</f>
        <v>Geizhals.at VICC Racing Division</v>
      </c>
      <c r="H24" s="37" t="str">
        <f>IFERROR(__xludf.DUMMYFUNCTION("""COMPUTED_VALUE"""),"M40")</f>
        <v>M40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536.0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)"),"10140716062")</f>
        <v>10140716062</v>
      </c>
      <c r="D25" s="37" t="str">
        <f>IFERROR(__xludf.DUMMYFUNCTION("""COMPUTED_VALUE"""),"Köberl")</f>
        <v>Köberl</v>
      </c>
      <c r="E25" s="37" t="str">
        <f>IFERROR(__xludf.DUMMYFUNCTION("""COMPUTED_VALUE"""),"Elias")</f>
        <v>Elias</v>
      </c>
      <c r="F25" s="37" t="str">
        <f>IFERROR(__xludf.DUMMYFUNCTION("""COMPUTED_VALUE"""),"AUT")</f>
        <v>AUT</v>
      </c>
      <c r="G25" s="37" t="str">
        <f>IFERROR(__xludf.DUMMYFUNCTION("""COMPUTED_VALUE"""),"Geizhals.at VICC Racing Division")</f>
        <v>Geizhals.at VICC Racing Division</v>
      </c>
      <c r="H25" s="37" t="str">
        <f>IFERROR(__xludf.DUMMYFUNCTION("""COMPUTED_VALUE"""),"M40")</f>
        <v>M40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538.0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)"),"10134199581")</f>
        <v>10134199581</v>
      </c>
      <c r="D26" s="37" t="str">
        <f>IFERROR(__xludf.DUMMYFUNCTION("""COMPUTED_VALUE"""),"Wagner")</f>
        <v>Wagner</v>
      </c>
      <c r="E26" s="37" t="str">
        <f>IFERROR(__xludf.DUMMYFUNCTION("""COMPUTED_VALUE"""),"Julian")</f>
        <v>Julian</v>
      </c>
      <c r="F26" s="37" t="str">
        <f>IFERROR(__xludf.DUMMYFUNCTION("""COMPUTED_VALUE"""),"AUT")</f>
        <v>AUT</v>
      </c>
      <c r="G26" s="37" t="str">
        <f>IFERROR(__xludf.DUMMYFUNCTION("""COMPUTED_VALUE"""),"Geizhals.at VICC Racing Division")</f>
        <v>Geizhals.at VICC Racing Division</v>
      </c>
      <c r="H26" s="37" t="str">
        <f>IFERROR(__xludf.DUMMYFUNCTION("""COMPUTED_VALUE"""),"M40")</f>
        <v>M40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605.0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)"),"10155643150")</f>
        <v>10155643150</v>
      </c>
      <c r="D27" s="37" t="str">
        <f>IFERROR(__xludf.DUMMYFUNCTION("""COMPUTED_VALUE"""),"Oskar")</f>
        <v>Oskar</v>
      </c>
      <c r="E27" s="37" t="str">
        <f>IFERROR(__xludf.DUMMYFUNCTION("""COMPUTED_VALUE"""),"Černoch")</f>
        <v>Černoch</v>
      </c>
      <c r="F27" s="37" t="str">
        <f>IFERROR(__xludf.DUMMYFUNCTION("""COMPUTED_VALUE"""),"CZE")</f>
        <v>CZE</v>
      </c>
      <c r="G27" s="37" t="str">
        <f>IFERROR(__xludf.DUMMYFUNCTION("""COMPUTED_VALUE"""),"Superior Team Jeseník")</f>
        <v>Superior Team Jeseník</v>
      </c>
      <c r="H27" s="37" t="str">
        <f>IFERROR(__xludf.DUMMYFUNCTION("""COMPUTED_VALUE"""),"M40")</f>
        <v>M40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557.0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 t="str">
        <f>IFERROR(__xludf.DUMMYFUNCTION("""COMPUTED_VALUE"""),"Podmanický")</f>
        <v>Podmanický</v>
      </c>
      <c r="E28" s="37" t="str">
        <f>IFERROR(__xludf.DUMMYFUNCTION("""COMPUTED_VALUE"""),"Tomáš")</f>
        <v>Tomáš</v>
      </c>
      <c r="F28" s="37" t="str">
        <f>IFERROR(__xludf.DUMMYFUNCTION("""COMPUTED_VALUE"""),"CZE")</f>
        <v>CZE</v>
      </c>
      <c r="G28" s="37" t="str">
        <f>IFERROR(__xludf.DUMMYFUNCTION("""COMPUTED_VALUE"""),"Rafkarna IDEA Cycling Team")</f>
        <v>Rafkarna IDEA Cycling Team</v>
      </c>
      <c r="H28" s="37" t="str">
        <f>IFERROR(__xludf.DUMMYFUNCTION("""COMPUTED_VALUE"""),"M40")</f>
        <v>M40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611.0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)"),"10002722347")</f>
        <v>10002722347</v>
      </c>
      <c r="D29" s="37" t="str">
        <f>IFERROR(__xludf.DUMMYFUNCTION("""COMPUTED_VALUE"""),"Lechner")</f>
        <v>Lechner</v>
      </c>
      <c r="E29" s="37" t="str">
        <f>IFERROR(__xludf.DUMMYFUNCTION("""COMPUTED_VALUE"""),"Petr")</f>
        <v>Petr</v>
      </c>
      <c r="F29" s="37" t="str">
        <f>IFERROR(__xludf.DUMMYFUNCTION("""COMPUTED_VALUE"""),"CZE")</f>
        <v>CZE</v>
      </c>
      <c r="G29" s="37" t="str">
        <f>IFERROR(__xludf.DUMMYFUNCTION("""COMPUTED_VALUE"""),"VARTA")</f>
        <v>VARTA</v>
      </c>
      <c r="H29" s="37" t="str">
        <f>IFERROR(__xludf.DUMMYFUNCTION("""COMPUTED_VALUE"""),"M40")</f>
        <v>M40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534.0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 t="str">
        <f>IFERROR(__xludf.DUMMYFUNCTION("""COMPUTED_VALUE"""),"Hradil")</f>
        <v>Hradil</v>
      </c>
      <c r="E30" s="37" t="str">
        <f>IFERROR(__xludf.DUMMYFUNCTION("""COMPUTED_VALUE"""),"Jiří")</f>
        <v>Jiří</v>
      </c>
      <c r="F30" s="37" t="str">
        <f>IFERROR(__xludf.DUMMYFUNCTION("""COMPUTED_VALUE"""),"CZE")</f>
        <v>CZE</v>
      </c>
      <c r="G30" s="54" t="str">
        <f>IFERROR(__xludf.DUMMYFUNCTION("""COMPUTED_VALUE"""),"ForRide.cz")</f>
        <v>ForRide.cz</v>
      </c>
      <c r="H30" s="37" t="str">
        <f>IFERROR(__xludf.DUMMYFUNCTION("""COMPUTED_VALUE"""),"M40")</f>
        <v>M40</v>
      </c>
      <c r="I30" s="39">
        <v>0.08136574074074074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612.0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 t="str">
        <f>IFERROR(__xludf.DUMMYFUNCTION("""COMPUTED_VALUE"""),"Želina")</f>
        <v>Želina</v>
      </c>
      <c r="E31" s="37" t="str">
        <f>IFERROR(__xludf.DUMMYFUNCTION("""COMPUTED_VALUE"""),"Jakub")</f>
        <v>Jakub</v>
      </c>
      <c r="F31" s="37" t="str">
        <f>IFERROR(__xludf.DUMMYFUNCTION("""COMPUTED_VALUE"""),"CZE")</f>
        <v>CZE</v>
      </c>
      <c r="G31" s="37" t="str">
        <f>IFERROR(__xludf.DUMMYFUNCTION("""COMPUTED_VALUE"""),"VARTA")</f>
        <v>VARTA</v>
      </c>
      <c r="H31" s="37" t="str">
        <f>IFERROR(__xludf.DUMMYFUNCTION("""COMPUTED_VALUE"""),"M40")</f>
        <v>M40</v>
      </c>
      <c r="I31" s="39">
        <v>0.08223379629629629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558.0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)"),"10047405496")</f>
        <v>10047405496</v>
      </c>
      <c r="D32" s="37" t="str">
        <f>IFERROR(__xludf.DUMMYFUNCTION("""COMPUTED_VALUE"""),"Klícha")</f>
        <v>Klícha</v>
      </c>
      <c r="E32" s="37" t="str">
        <f>IFERROR(__xludf.DUMMYFUNCTION("""COMPUTED_VALUE"""),"Martin")</f>
        <v>Martin</v>
      </c>
      <c r="F32" s="37" t="str">
        <f>IFERROR(__xludf.DUMMYFUNCTION("""COMPUTED_VALUE"""),"CZE")</f>
        <v>CZE</v>
      </c>
      <c r="G32" s="37" t="str">
        <f>IFERROR(__xludf.DUMMYFUNCTION("""COMPUTED_VALUE"""),"Rafkarna IDEA Cycling Team")</f>
        <v>Rafkarna IDEA Cycling Team</v>
      </c>
      <c r="H32" s="37" t="str">
        <f>IFERROR(__xludf.DUMMYFUNCTION("""COMPUTED_VALUE"""),"M40")</f>
        <v>M40</v>
      </c>
      <c r="I32" s="39">
        <v>0.08261574074074074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552.0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 t="str">
        <f>IFERROR(__xludf.DUMMYFUNCTION("""COMPUTED_VALUE"""),"Bříza")</f>
        <v>Bříza</v>
      </c>
      <c r="E33" s="37" t="str">
        <f>IFERROR(__xludf.DUMMYFUNCTION("""COMPUTED_VALUE"""),"Ondřej")</f>
        <v>Ondřej</v>
      </c>
      <c r="F33" s="37" t="str">
        <f>IFERROR(__xludf.DUMMYFUNCTION("""COMPUTED_VALUE"""),"CZE")</f>
        <v>CZE</v>
      </c>
      <c r="G33" s="37" t="str">
        <f>IFERROR(__xludf.DUMMYFUNCTION("""COMPUTED_VALUE"""),"Rafkarna IDEA Cycling Team")</f>
        <v>Rafkarna IDEA Cycling Team</v>
      </c>
      <c r="H33" s="37" t="str">
        <f>IFERROR(__xludf.DUMMYFUNCTION("""COMPUTED_VALUE"""),"M40")</f>
        <v>M40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615.0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 t="str">
        <f>IFERROR(__xludf.DUMMYFUNCTION("""COMPUTED_VALUE"""),"Bucháček")</f>
        <v>Bucháček</v>
      </c>
      <c r="E34" s="37" t="str">
        <f>IFERROR(__xludf.DUMMYFUNCTION("""COMPUTED_VALUE"""),"Tomáš")</f>
        <v>Tomáš</v>
      </c>
      <c r="F34" s="37" t="str">
        <f>IFERROR(__xludf.DUMMYFUNCTION("""COMPUTED_VALUE"""),"CZE")</f>
        <v>CZE</v>
      </c>
      <c r="G34" s="37" t="str">
        <f>IFERROR(__xludf.DUMMYFUNCTION("""COMPUTED_VALUE"""),"VARTA")</f>
        <v>VARTA</v>
      </c>
      <c r="H34" s="37" t="str">
        <f>IFERROR(__xludf.DUMMYFUNCTION("""COMPUTED_VALUE"""),"M40")</f>
        <v>M40</v>
      </c>
      <c r="I34" s="39">
        <v>0.08305555555555555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545.0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 t="str">
        <f>IFERROR(__xludf.DUMMYFUNCTION("""COMPUTED_VALUE"""),"Trunčík")</f>
        <v>Trunčík</v>
      </c>
      <c r="E35" s="37" t="str">
        <f>IFERROR(__xludf.DUMMYFUNCTION("""COMPUTED_VALUE"""),"Filip")</f>
        <v>Filip</v>
      </c>
      <c r="F35" s="37" t="str">
        <f>IFERROR(__xludf.DUMMYFUNCTION("""COMPUTED_VALUE"""),"CZE")</f>
        <v>CZE</v>
      </c>
      <c r="G35" s="37" t="str">
        <f>IFERROR(__xludf.DUMMYFUNCTION("""COMPUTED_VALUE"""),"OKOLO Mikulov")</f>
        <v>OKOLO Mikulov</v>
      </c>
      <c r="H35" s="37" t="str">
        <f>IFERROR(__xludf.DUMMYFUNCTION("""COMPUTED_VALUE"""),"M40")</f>
        <v>M40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523.0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)"),"10035063157")</f>
        <v>10035063157</v>
      </c>
      <c r="D36" s="37" t="str">
        <f>IFERROR(__xludf.DUMMYFUNCTION("""COMPUTED_VALUE"""),"Staudinger")</f>
        <v>Staudinger</v>
      </c>
      <c r="E36" s="37" t="str">
        <f>IFERROR(__xludf.DUMMYFUNCTION("""COMPUTED_VALUE"""),"Christian")</f>
        <v>Christian</v>
      </c>
      <c r="F36" s="37" t="str">
        <f>IFERROR(__xludf.DUMMYFUNCTION("""COMPUTED_VALUE"""),"AUT")</f>
        <v>AUT</v>
      </c>
      <c r="G36" s="37" t="str">
        <f>IFERROR(__xludf.DUMMYFUNCTION("""COMPUTED_VALUE"""),"BBUC Racing Dream")</f>
        <v>BBUC Racing Dream</v>
      </c>
      <c r="H36" s="37" t="str">
        <f>IFERROR(__xludf.DUMMYFUNCTION("""COMPUTED_VALUE"""),"M40")</f>
        <v>M40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 t="s">
        <v>90</v>
      </c>
      <c r="B37" s="35">
        <v>553.0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)"),"10096850440")</f>
        <v>10096850440</v>
      </c>
      <c r="D37" s="37" t="str">
        <f>IFERROR(__xludf.DUMMYFUNCTION("""COMPUTED_VALUE"""),"Rybín")</f>
        <v>Rybín</v>
      </c>
      <c r="E37" s="37" t="str">
        <f>IFERROR(__xludf.DUMMYFUNCTION("""COMPUTED_VALUE"""),"Ondřej")</f>
        <v>Ondřej</v>
      </c>
      <c r="F37" s="37" t="str">
        <f>IFERROR(__xludf.DUMMYFUNCTION("""COMPUTED_VALUE"""),"CZE")</f>
        <v>CZE</v>
      </c>
      <c r="G37" s="37" t="str">
        <f>IFERROR(__xludf.DUMMYFUNCTION("""COMPUTED_VALUE"""),"Rafkarna IDEA Cycling Team")</f>
        <v>Rafkarna IDEA Cycling Team</v>
      </c>
      <c r="H37" s="37" t="str">
        <f>IFERROR(__xludf.DUMMYFUNCTION("""COMPUTED_VALUE"""),"M40")</f>
        <v>M40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 t="s">
        <v>90</v>
      </c>
      <c r="B38" s="35">
        <v>610.0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 t="str">
        <f>IFERROR(__xludf.DUMMYFUNCTION("""COMPUTED_VALUE"""),"Rampula")</f>
        <v>Rampula</v>
      </c>
      <c r="E38" s="37" t="str">
        <f>IFERROR(__xludf.DUMMYFUNCTION("""COMPUTED_VALUE"""),"Petr")</f>
        <v>Petr</v>
      </c>
      <c r="F38" s="37" t="str">
        <f>IFERROR(__xludf.DUMMYFUNCTION("""COMPUTED_VALUE"""),"CZE")</f>
        <v>CZE</v>
      </c>
      <c r="G38" s="37" t="str">
        <f>IFERROR(__xludf.DUMMYFUNCTION("""COMPUTED_VALUE"""),"VARTA")</f>
        <v>VARTA</v>
      </c>
      <c r="H38" s="37" t="str">
        <f>IFERROR(__xludf.DUMMYFUNCTION("""COMPUTED_VALUE"""),"M40")</f>
        <v>M40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 t="s">
        <v>90</v>
      </c>
      <c r="B39" s="35">
        <v>554.0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)"),"10117828914")</f>
        <v>10117828914</v>
      </c>
      <c r="D39" s="37" t="str">
        <f>IFERROR(__xludf.DUMMYFUNCTION("""COMPUTED_VALUE"""),"Suchý")</f>
        <v>Suchý</v>
      </c>
      <c r="E39" s="37" t="str">
        <f>IFERROR(__xludf.DUMMYFUNCTION("""COMPUTED_VALUE"""),"Petr")</f>
        <v>Petr</v>
      </c>
      <c r="F39" s="37" t="str">
        <f>IFERROR(__xludf.DUMMYFUNCTION("""COMPUTED_VALUE"""),"CZE")</f>
        <v>CZE</v>
      </c>
      <c r="G39" s="37" t="str">
        <f>IFERROR(__xludf.DUMMYFUNCTION("""COMPUTED_VALUE"""),"Rafkarna IDEA Cycling Team")</f>
        <v>Rafkarna IDEA Cycling Team</v>
      </c>
      <c r="H39" s="37" t="str">
        <f>IFERROR(__xludf.DUMMYFUNCTION("""COMPUTED_VALUE"""),"M40")</f>
        <v>M40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 t="s">
        <v>90</v>
      </c>
      <c r="B40" s="35">
        <v>620.0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)"),"10168916184")</f>
        <v>10168916184</v>
      </c>
      <c r="D40" s="37" t="str">
        <f>IFERROR(__xludf.DUMMYFUNCTION("""COMPUTED_VALUE"""),"Quell")</f>
        <v>Quell</v>
      </c>
      <c r="E40" s="37" t="str">
        <f>IFERROR(__xludf.DUMMYFUNCTION("""COMPUTED_VALUE"""),"Philipp")</f>
        <v>Philipp</v>
      </c>
      <c r="F40" s="37" t="str">
        <f>IFERROR(__xludf.DUMMYFUNCTION("""COMPUTED_VALUE"""),"AUT")</f>
        <v>AUT</v>
      </c>
      <c r="G40" s="37" t="str">
        <f>IFERROR(__xludf.DUMMYFUNCTION("""COMPUTED_VALUE"""),"Geizhals.at VICC Racing Division")</f>
        <v>Geizhals.at VICC Racing Division</v>
      </c>
      <c r="H40" s="37" t="str">
        <f>IFERROR(__xludf.DUMMYFUNCTION("""COMPUTED_VALUE"""),"M40")</f>
        <v>M40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 t="s">
        <v>90</v>
      </c>
      <c r="B41" s="35">
        <v>525.0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 t="str">
        <f>IFERROR(__xludf.DUMMYFUNCTION("""COMPUTED_VALUE"""),"Filip")</f>
        <v>Filip</v>
      </c>
      <c r="E41" s="37" t="str">
        <f>IFERROR(__xludf.DUMMYFUNCTION("""COMPUTED_VALUE"""),"Štěpán")</f>
        <v>Štěpán</v>
      </c>
      <c r="F41" s="37" t="str">
        <f>IFERROR(__xludf.DUMMYFUNCTION("""COMPUTED_VALUE"""),"CZE")</f>
        <v>CZE</v>
      </c>
      <c r="G41" s="37" t="str">
        <f>IFERROR(__xludf.DUMMYFUNCTION("""COMPUTED_VALUE"""),"BRILON RACING TEAM MB")</f>
        <v>BRILON RACING TEAM MB</v>
      </c>
      <c r="H41" s="37" t="str">
        <f>IFERROR(__xludf.DUMMYFUNCTION("""COMPUTED_VALUE"""),"M40")</f>
        <v>M40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 t="s">
        <v>90</v>
      </c>
      <c r="B42" s="45">
        <v>621.0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)"),"10171071810")</f>
        <v>10171071810</v>
      </c>
      <c r="D42" s="44" t="str">
        <f>IFERROR(__xludf.DUMMYFUNCTION("""COMPUTED_VALUE"""),"Volkman")</f>
        <v>Volkman</v>
      </c>
      <c r="E42" s="44" t="str">
        <f>IFERROR(__xludf.DUMMYFUNCTION("""COMPUTED_VALUE"""),"Markus")</f>
        <v>Markus</v>
      </c>
      <c r="F42" s="44" t="str">
        <f>IFERROR(__xludf.DUMMYFUNCTION("""COMPUTED_VALUE"""),"AUT")</f>
        <v>AUT</v>
      </c>
      <c r="G42" s="44" t="str">
        <f>IFERROR(__xludf.DUMMYFUNCTION("""COMPUTED_VALUE"""),"Geizhals.at VICC Racing Division")</f>
        <v>Geizhals.at VICC Racing Division</v>
      </c>
      <c r="H42" s="44" t="str">
        <f>IFERROR(__xludf.DUMMYFUNCTION("""COMPUTED_VALUE"""),"M40")</f>
        <v>M40</v>
      </c>
      <c r="I42" s="43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 t="s">
        <v>90</v>
      </c>
      <c r="B43" s="45">
        <v>521.0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)"),"10010739500")</f>
        <v>10010739500</v>
      </c>
      <c r="D43" s="44" t="str">
        <f>IFERROR(__xludf.DUMMYFUNCTION("""COMPUTED_VALUE"""),"Gaubatz")</f>
        <v>Gaubatz</v>
      </c>
      <c r="E43" s="44" t="str">
        <f>IFERROR(__xludf.DUMMYFUNCTION("""COMPUTED_VALUE"""),"Lukas")</f>
        <v>Lukas</v>
      </c>
      <c r="F43" s="44" t="str">
        <f>IFERROR(__xludf.DUMMYFUNCTION("""COMPUTED_VALUE"""),"AUT")</f>
        <v>AUT</v>
      </c>
      <c r="G43" s="44" t="str">
        <f>IFERROR(__xludf.DUMMYFUNCTION("""COMPUTED_VALUE"""),"2060 Racing Cluster")</f>
        <v>2060 Racing Cluster</v>
      </c>
      <c r="H43" s="44" t="str">
        <f>IFERROR(__xludf.DUMMYFUNCTION("""COMPUTED_VALUE"""),"M40")</f>
        <v>M40</v>
      </c>
      <c r="I43" s="43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 t="s">
        <v>90</v>
      </c>
      <c r="B44" s="45">
        <v>606.0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44" t="str">
        <f>IFERROR(__xludf.DUMMYFUNCTION("""COMPUTED_VALUE"""),"Kanócz")</f>
        <v>Kanócz</v>
      </c>
      <c r="E44" s="44" t="str">
        <f>IFERROR(__xludf.DUMMYFUNCTION("""COMPUTED_VALUE"""),"Rastislav")</f>
        <v>Rastislav</v>
      </c>
      <c r="F44" s="44" t="str">
        <f>IFERROR(__xludf.DUMMYFUNCTION("""COMPUTED_VALUE"""),"CZE")</f>
        <v>CZE</v>
      </c>
      <c r="G44" s="44" t="str">
        <f>IFERROR(__xludf.DUMMYFUNCTION("""COMPUTED_VALUE"""),"Team Forman Energetic")</f>
        <v>Team Forman Energetic</v>
      </c>
      <c r="H44" s="44" t="str">
        <f>IFERROR(__xludf.DUMMYFUNCTION("""COMPUTED_VALUE"""),"M40")</f>
        <v>M40</v>
      </c>
      <c r="I44" s="43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 t="s">
        <v>90</v>
      </c>
      <c r="B45" s="45">
        <v>617.0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44" t="str">
        <f>IFERROR(__xludf.DUMMYFUNCTION("""COMPUTED_VALUE"""),"Kropáček")</f>
        <v>Kropáček</v>
      </c>
      <c r="E45" s="44" t="str">
        <f>IFERROR(__xludf.DUMMYFUNCTION("""COMPUTED_VALUE"""),"Radek")</f>
        <v>Radek</v>
      </c>
      <c r="F45" s="44" t="str">
        <f>IFERROR(__xludf.DUMMYFUNCTION("""COMPUTED_VALUE"""),"CZE")</f>
        <v>CZE</v>
      </c>
      <c r="G45" s="44"/>
      <c r="H45" s="44" t="str">
        <f>IFERROR(__xludf.DUMMYFUNCTION("""COMPUTED_VALUE"""),"M40")</f>
        <v>M40</v>
      </c>
      <c r="I45" s="4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 t="s">
        <v>90</v>
      </c>
      <c r="B46" s="45">
        <v>533.0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)"),"10170602065")</f>
        <v>10170602065</v>
      </c>
      <c r="D46" s="44" t="str">
        <f>IFERROR(__xludf.DUMMYFUNCTION("""COMPUTED_VALUE"""),"Koch")</f>
        <v>Koch</v>
      </c>
      <c r="E46" s="44" t="str">
        <f>IFERROR(__xludf.DUMMYFUNCTION("""COMPUTED_VALUE"""),"Emil")</f>
        <v>Emil</v>
      </c>
      <c r="F46" s="44" t="str">
        <f>IFERROR(__xludf.DUMMYFUNCTION("""COMPUTED_VALUE"""),"GER")</f>
        <v>GER</v>
      </c>
      <c r="G46" s="44" t="str">
        <f>IFERROR(__xludf.DUMMYFUNCTION("""COMPUTED_VALUE"""),"Dresdner Sc 1898 e. V.")</f>
        <v>Dresdner Sc 1898 e. V.</v>
      </c>
      <c r="H46" s="44" t="str">
        <f>IFERROR(__xludf.DUMMYFUNCTION("""COMPUTED_VALUE"""),"M40")</f>
        <v>M40</v>
      </c>
      <c r="I46" s="4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 t="s">
        <v>90</v>
      </c>
      <c r="B47" s="45">
        <v>530.0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44" t="str">
        <f>IFERROR(__xludf.DUMMYFUNCTION("""COMPUTED_VALUE"""),"Horáček")</f>
        <v>Horáček</v>
      </c>
      <c r="E47" s="44" t="str">
        <f>IFERROR(__xludf.DUMMYFUNCTION("""COMPUTED_VALUE"""),"Radim")</f>
        <v>Radim</v>
      </c>
      <c r="F47" s="44" t="str">
        <f>IFERROR(__xludf.DUMMYFUNCTION("""COMPUTED_VALUE"""),"CZE")</f>
        <v>CZE</v>
      </c>
      <c r="G47" s="44" t="str">
        <f>IFERROR(__xludf.DUMMYFUNCTION("""COMPUTED_VALUE"""),"CYKLOSPORT CHROPYNĚ 4GOLD")</f>
        <v>CYKLOSPORT CHROPYNĚ 4GOLD</v>
      </c>
      <c r="H47" s="44" t="str">
        <f>IFERROR(__xludf.DUMMYFUNCTION("""COMPUTED_VALUE"""),"M40")</f>
        <v>M40</v>
      </c>
      <c r="I47" s="4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 t="s">
        <v>90</v>
      </c>
      <c r="B48" s="45">
        <v>609.0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44" t="str">
        <f>IFERROR(__xludf.DUMMYFUNCTION("""COMPUTED_VALUE"""),"Hrabovský")</f>
        <v>Hrabovský</v>
      </c>
      <c r="E48" s="44" t="str">
        <f>IFERROR(__xludf.DUMMYFUNCTION("""COMPUTED_VALUE"""),"Jakub")</f>
        <v>Jakub</v>
      </c>
      <c r="F48" s="44" t="str">
        <f>IFERROR(__xludf.DUMMYFUNCTION("""COMPUTED_VALUE"""),"CZE")</f>
        <v>CZE</v>
      </c>
      <c r="G48" s="44" t="str">
        <f>IFERROR(__xludf.DUMMYFUNCTION("""COMPUTED_VALUE"""),"Trident Cycling")</f>
        <v>Trident Cycling</v>
      </c>
      <c r="H48" s="44" t="str">
        <f>IFERROR(__xludf.DUMMYFUNCTION("""COMPUTED_VALUE"""),"M40")</f>
        <v>M40</v>
      </c>
      <c r="I48" s="4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 t="s">
        <v>90</v>
      </c>
      <c r="B49" s="45">
        <v>551.0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44" t="str">
        <f>IFERROR(__xludf.DUMMYFUNCTION("""COMPUTED_VALUE"""),"Šeliga")</f>
        <v>Šeliga</v>
      </c>
      <c r="E49" s="44" t="str">
        <f>IFERROR(__xludf.DUMMYFUNCTION("""COMPUTED_VALUE"""),"Dvid")</f>
        <v>Dvid</v>
      </c>
      <c r="F49" s="44" t="str">
        <f>IFERROR(__xludf.DUMMYFUNCTION("""COMPUTED_VALUE"""),"CZE")</f>
        <v>CZE</v>
      </c>
      <c r="G49" s="44" t="str">
        <f>IFERROR(__xludf.DUMMYFUNCTION("""COMPUTED_VALUE"""),"Bora Hansgrohe Team")</f>
        <v>Bora Hansgrohe Team</v>
      </c>
      <c r="H49" s="44" t="str">
        <f>IFERROR(__xludf.DUMMYFUNCTION("""COMPUTED_VALUE"""),"M40")</f>
        <v>M40</v>
      </c>
      <c r="I49" s="4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 t="s">
        <v>90</v>
      </c>
      <c r="B50" s="45">
        <v>560.0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)"),"10094115545")</f>
        <v>10094115545</v>
      </c>
      <c r="D50" s="44" t="str">
        <f>IFERROR(__xludf.DUMMYFUNCTION("""COMPUTED_VALUE"""),"Mužík")</f>
        <v>Mužík</v>
      </c>
      <c r="E50" s="44" t="str">
        <f>IFERROR(__xludf.DUMMYFUNCTION("""COMPUTED_VALUE"""),"Tomáš")</f>
        <v>Tomáš</v>
      </c>
      <c r="F50" s="44" t="str">
        <f>IFERROR(__xludf.DUMMYFUNCTION("""COMPUTED_VALUE"""),"CZE")</f>
        <v>CZE</v>
      </c>
      <c r="G50" s="44" t="str">
        <f>IFERROR(__xludf.DUMMYFUNCTION("""COMPUTED_VALUE"""),"Rafkarna IDEA Cycling Team")</f>
        <v>Rafkarna IDEA Cycling Team</v>
      </c>
      <c r="H50" s="44" t="str">
        <f>IFERROR(__xludf.DUMMYFUNCTION("""COMPUTED_VALUE"""),"M40")</f>
        <v>M40</v>
      </c>
      <c r="I50" s="4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 t="s">
        <v>90</v>
      </c>
      <c r="B51" s="45">
        <v>602.0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)"),"10125380867")</f>
        <v>10125380867</v>
      </c>
      <c r="D51" s="44" t="str">
        <f>IFERROR(__xludf.DUMMYFUNCTION("""COMPUTED_VALUE"""),"Zvolský")</f>
        <v>Zvolský</v>
      </c>
      <c r="E51" s="44" t="str">
        <f>IFERROR(__xludf.DUMMYFUNCTION("""COMPUTED_VALUE"""),"Ladislav")</f>
        <v>Ladislav</v>
      </c>
      <c r="F51" s="44" t="str">
        <f>IFERROR(__xludf.DUMMYFUNCTION("""COMPUTED_VALUE"""),"CZE")</f>
        <v>CZE</v>
      </c>
      <c r="G51" s="44" t="str">
        <f>IFERROR(__xludf.DUMMYFUNCTION("""COMPUTED_VALUE"""),"REXONIX KOVO PRAHA")</f>
        <v>REXONIX KOVO PRAHA</v>
      </c>
      <c r="H51" s="44" t="str">
        <f>IFERROR(__xludf.DUMMYFUNCTION("""COMPUTED_VALUE"""),"M40")</f>
        <v>M40</v>
      </c>
      <c r="I51" s="4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 t="s">
        <v>90</v>
      </c>
      <c r="B52" s="45">
        <v>522.0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)"),"10128346946")</f>
        <v>10128346946</v>
      </c>
      <c r="D52" s="44" t="str">
        <f>IFERROR(__xludf.DUMMYFUNCTION("""COMPUTED_VALUE"""),"Hrbotický")</f>
        <v>Hrbotický</v>
      </c>
      <c r="E52" s="44" t="str">
        <f>IFERROR(__xludf.DUMMYFUNCTION("""COMPUTED_VALUE"""),"Lukáš")</f>
        <v>Lukáš</v>
      </c>
      <c r="F52" s="44" t="str">
        <f>IFERROR(__xludf.DUMMYFUNCTION("""COMPUTED_VALUE"""),"CZE")</f>
        <v>CZE</v>
      </c>
      <c r="G52" s="44" t="str">
        <f>IFERROR(__xludf.DUMMYFUNCTION("""COMPUTED_VALUE"""),"Akademie dráhové cyklistiky")</f>
        <v>Akademie dráhové cyklistiky</v>
      </c>
      <c r="H52" s="44" t="str">
        <f>IFERROR(__xludf.DUMMYFUNCTION("""COMPUTED_VALUE"""),"M40")</f>
        <v>M40</v>
      </c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 t="s">
        <v>90</v>
      </c>
      <c r="B53" s="45">
        <v>542.0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 t="str">
        <f>IFERROR(__xludf.DUMMYFUNCTION("""COMPUTED_VALUE"""),"Dvořák")</f>
        <v>Dvořák</v>
      </c>
      <c r="E53" s="44" t="str">
        <f>IFERROR(__xludf.DUMMYFUNCTION("""COMPUTED_VALUE"""),"Zdeněk")</f>
        <v>Zdeněk</v>
      </c>
      <c r="F53" s="44" t="str">
        <f>IFERROR(__xludf.DUMMYFUNCTION("""COMPUTED_VALUE"""),"CZE")</f>
        <v>CZE</v>
      </c>
      <c r="G53" s="44" t="str">
        <f>IFERROR(__xludf.DUMMYFUNCTION("""COMPUTED_VALUE"""),"LOKO Břeclav")</f>
        <v>LOKO Břeclav</v>
      </c>
      <c r="H53" s="44" t="str">
        <f>IFERROR(__xludf.DUMMYFUNCTION("""COMPUTED_VALUE"""),"M40")</f>
        <v>M40</v>
      </c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 t="s">
        <v>90</v>
      </c>
      <c r="B54" s="45">
        <v>559.0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 t="str">
        <f>IFERROR(__xludf.DUMMYFUNCTION("""COMPUTED_VALUE"""),"Pajer")</f>
        <v>Pajer</v>
      </c>
      <c r="E54" s="44" t="str">
        <f>IFERROR(__xludf.DUMMYFUNCTION("""COMPUTED_VALUE"""),"Martin")</f>
        <v>Martin</v>
      </c>
      <c r="F54" s="44" t="str">
        <f>IFERROR(__xludf.DUMMYFUNCTION("""COMPUTED_VALUE"""),"CZE")</f>
        <v>CZE</v>
      </c>
      <c r="G54" s="44" t="str">
        <f>IFERROR(__xludf.DUMMYFUNCTION("""COMPUTED_VALUE"""),"Rafkarna IDEA Cycling Team")</f>
        <v>Rafkarna IDEA Cycling Team</v>
      </c>
      <c r="H54" s="44" t="str">
        <f>IFERROR(__xludf.DUMMYFUNCTION("""COMPUTED_VALUE"""),"M40")</f>
        <v>M40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35" t="s">
        <v>90</v>
      </c>
      <c r="B55" s="45">
        <v>529.0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)"),"10115119782")</f>
        <v>10115119782</v>
      </c>
      <c r="D55" s="44" t="str">
        <f>IFERROR(__xludf.DUMMYFUNCTION("""COMPUTED_VALUE"""),"Mikulecký")</f>
        <v>Mikulecký</v>
      </c>
      <c r="E55" s="44" t="str">
        <f>IFERROR(__xludf.DUMMYFUNCTION("""COMPUTED_VALUE"""),"Pavel")</f>
        <v>Pavel</v>
      </c>
      <c r="F55" s="44" t="str">
        <f>IFERROR(__xludf.DUMMYFUNCTION("""COMPUTED_VALUE"""),"CZE")</f>
        <v>CZE</v>
      </c>
      <c r="G55" s="44" t="str">
        <f>IFERROR(__xludf.DUMMYFUNCTION("""COMPUTED_VALUE"""),"Cycli.cz team")</f>
        <v>Cycli.cz team</v>
      </c>
      <c r="H55" s="44" t="str">
        <f>IFERROR(__xludf.DUMMYFUNCTION("""COMPUTED_VALUE"""),"M40")</f>
        <v>M40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35" t="s">
        <v>90</v>
      </c>
      <c r="B56" s="45">
        <v>527.0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)"),"10128030078")</f>
        <v>10128030078</v>
      </c>
      <c r="D56" s="44" t="str">
        <f>IFERROR(__xludf.DUMMYFUNCTION("""COMPUTED_VALUE"""),"Tóbl")</f>
        <v>Tóbl</v>
      </c>
      <c r="E56" s="44" t="str">
        <f>IFERROR(__xludf.DUMMYFUNCTION("""COMPUTED_VALUE"""),"Tomáš")</f>
        <v>Tomáš</v>
      </c>
      <c r="F56" s="44" t="str">
        <f>IFERROR(__xludf.DUMMYFUNCTION("""COMPUTED_VALUE"""),"SVK")</f>
        <v>SVK</v>
      </c>
      <c r="G56" s="44" t="str">
        <f>IFERROR(__xludf.DUMMYFUNCTION("""COMPUTED_VALUE"""),"CK Olympik Trnava")</f>
        <v>CK Olympik Trnava</v>
      </c>
      <c r="H56" s="44" t="str">
        <f>IFERROR(__xludf.DUMMYFUNCTION("""COMPUTED_VALUE"""),"M40")</f>
        <v>M40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35" t="s">
        <v>90</v>
      </c>
      <c r="B57" s="45">
        <v>556.0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 t="str">
        <f>IFERROR(__xludf.DUMMYFUNCTION("""COMPUTED_VALUE"""),"Dobiáš")</f>
        <v>Dobiáš</v>
      </c>
      <c r="E57" s="44" t="str">
        <f>IFERROR(__xludf.DUMMYFUNCTION("""COMPUTED_VALUE"""),"Vladislav")</f>
        <v>Vladislav</v>
      </c>
      <c r="F57" s="44" t="str">
        <f>IFERROR(__xludf.DUMMYFUNCTION("""COMPUTED_VALUE"""),"CZE")</f>
        <v>CZE</v>
      </c>
      <c r="G57" s="44" t="str">
        <f>IFERROR(__xludf.DUMMYFUNCTION("""COMPUTED_VALUE"""),"Rafkarna IDEA Cycling Team")</f>
        <v>Rafkarna IDEA Cycling Team</v>
      </c>
      <c r="H57" s="44" t="str">
        <f>IFERROR(__xludf.DUMMYFUNCTION("""COMPUTED_VALUE"""),"M40")</f>
        <v>M40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35" t="s">
        <v>90</v>
      </c>
      <c r="B58" s="45">
        <v>614.0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 t="str">
        <f>IFERROR(__xludf.DUMMYFUNCTION("""COMPUTED_VALUE"""),"Brambora")</f>
        <v>Brambora</v>
      </c>
      <c r="E58" s="44" t="str">
        <f>IFERROR(__xludf.DUMMYFUNCTION("""COMPUTED_VALUE"""),"Karel")</f>
        <v>Karel</v>
      </c>
      <c r="F58" s="44" t="str">
        <f>IFERROR(__xludf.DUMMYFUNCTION("""COMPUTED_VALUE"""),"CZE")</f>
        <v>CZE</v>
      </c>
      <c r="G58" s="44" t="str">
        <f>IFERROR(__xludf.DUMMYFUNCTION("""COMPUTED_VALUE"""),"VARTA")</f>
        <v>VARTA</v>
      </c>
      <c r="H58" s="44" t="str">
        <f>IFERROR(__xludf.DUMMYFUNCTION("""COMPUTED_VALUE"""),"M40")</f>
        <v>M40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35" t="s">
        <v>90</v>
      </c>
      <c r="B59" s="45">
        <v>603.0</v>
      </c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)"),"10093981967")</f>
        <v>10093981967</v>
      </c>
      <c r="D59" s="44" t="str">
        <f>IFERROR(__xludf.DUMMYFUNCTION("""COMPUTED_VALUE"""),"Albl")</f>
        <v>Albl</v>
      </c>
      <c r="E59" s="44" t="str">
        <f>IFERROR(__xludf.DUMMYFUNCTION("""COMPUTED_VALUE"""),"Zdeněk")</f>
        <v>Zdeněk</v>
      </c>
      <c r="F59" s="44" t="str">
        <f>IFERROR(__xludf.DUMMYFUNCTION("""COMPUTED_VALUE"""),"CZE")</f>
        <v>CZE</v>
      </c>
      <c r="G59" s="44" t="str">
        <f>IFERROR(__xludf.DUMMYFUNCTION("""COMPUTED_VALUE"""),"REXONIX KOVO PRAHA")</f>
        <v>REXONIX KOVO PRAHA</v>
      </c>
      <c r="H59" s="44" t="str">
        <f>IFERROR(__xludf.DUMMYFUNCTION("""COMPUTED_VALUE"""),"M40")</f>
        <v>M40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35" t="s">
        <v>37</v>
      </c>
      <c r="B60" s="45">
        <v>524.0</v>
      </c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)"),"10140248442")</f>
        <v>10140248442</v>
      </c>
      <c r="D60" s="44" t="str">
        <f>IFERROR(__xludf.DUMMYFUNCTION("""COMPUTED_VALUE"""),"Sykora")</f>
        <v>Sykora</v>
      </c>
      <c r="E60" s="44" t="str">
        <f>IFERROR(__xludf.DUMMYFUNCTION("""COMPUTED_VALUE"""),"Peter")</f>
        <v>Peter</v>
      </c>
      <c r="F60" s="44" t="str">
        <f>IFERROR(__xludf.DUMMYFUNCTION("""COMPUTED_VALUE"""),"SVK")</f>
        <v>SVK</v>
      </c>
      <c r="G60" s="44" t="str">
        <f>IFERROR(__xludf.DUMMYFUNCTION("""COMPUTED_VALUE"""),"BeatMe cycling team")</f>
        <v>BeatMe cycling team</v>
      </c>
      <c r="H60" s="44" t="str">
        <f>IFERROR(__xludf.DUMMYFUNCTION("""COMPUTED_VALUE"""),"M40")</f>
        <v>M40</v>
      </c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45" t="s">
        <v>37</v>
      </c>
      <c r="B61" s="45">
        <v>526.0</v>
      </c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)"),"10141541774")</f>
        <v>10141541774</v>
      </c>
      <c r="D61" s="44" t="str">
        <f>IFERROR(__xludf.DUMMYFUNCTION("""COMPUTED_VALUE"""),"Gembala")</f>
        <v>Gembala</v>
      </c>
      <c r="E61" s="44" t="str">
        <f>IFERROR(__xludf.DUMMYFUNCTION("""COMPUTED_VALUE"""),"Szymon")</f>
        <v>Szymon</v>
      </c>
      <c r="F61" s="44" t="str">
        <f>IFERROR(__xludf.DUMMYFUNCTION("""COMPUTED_VALUE"""),"POL")</f>
        <v>POL</v>
      </c>
      <c r="G61" s="44" t="str">
        <f>IFERROR(__xludf.DUMMYFUNCTION("""COMPUTED_VALUE"""),"Brodex Party")</f>
        <v>Brodex Party</v>
      </c>
      <c r="H61" s="44" t="str">
        <f>IFERROR(__xludf.DUMMYFUNCTION("""COMPUTED_VALUE"""),"M40")</f>
        <v>M40</v>
      </c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35" t="s">
        <v>37</v>
      </c>
      <c r="B62" s="45">
        <v>528.0</v>
      </c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)"),"10007944684")</f>
        <v>10007944684</v>
      </c>
      <c r="D62" s="44" t="str">
        <f>IFERROR(__xludf.DUMMYFUNCTION("""COMPUTED_VALUE"""),"Wachs")</f>
        <v>Wachs</v>
      </c>
      <c r="E62" s="44" t="str">
        <f>IFERROR(__xludf.DUMMYFUNCTION("""COMPUTED_VALUE"""),"Martin")</f>
        <v>Martin</v>
      </c>
      <c r="F62" s="44" t="str">
        <f>IFERROR(__xludf.DUMMYFUNCTION("""COMPUTED_VALUE"""),"SVK")</f>
        <v>SVK</v>
      </c>
      <c r="G62" s="44" t="str">
        <f>IFERROR(__xludf.DUMMYFUNCTION("""COMPUTED_VALUE"""),"CK SPARTAK TLMAČE")</f>
        <v>CK SPARTAK TLMAČE</v>
      </c>
      <c r="H62" s="44" t="str">
        <f>IFERROR(__xludf.DUMMYFUNCTION("""COMPUTED_VALUE"""),"M40")</f>
        <v>M40</v>
      </c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45" t="s">
        <v>37</v>
      </c>
      <c r="B63" s="45">
        <v>544.0</v>
      </c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 t="str">
        <f>IFERROR(__xludf.DUMMYFUNCTION("""COMPUTED_VALUE"""),"Bachman")</f>
        <v>Bachman</v>
      </c>
      <c r="E63" s="44" t="str">
        <f>IFERROR(__xludf.DUMMYFUNCTION("""COMPUTED_VALUE"""),"Milan")</f>
        <v>Milan</v>
      </c>
      <c r="F63" s="44" t="str">
        <f>IFERROR(__xludf.DUMMYFUNCTION("""COMPUTED_VALUE"""),"CZE")</f>
        <v>CZE</v>
      </c>
      <c r="G63" s="44" t="str">
        <f>IFERROR(__xludf.DUMMYFUNCTION("""COMPUTED_VALUE"""),"OKOLO Mikulov")</f>
        <v>OKOLO Mikulov</v>
      </c>
      <c r="H63" s="44" t="str">
        <f>IFERROR(__xludf.DUMMYFUNCTION("""COMPUTED_VALUE"""),"M40")</f>
        <v>M40</v>
      </c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35" t="s">
        <v>37</v>
      </c>
      <c r="B64" s="45">
        <v>547.0</v>
      </c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 t="str">
        <f>IFERROR(__xludf.DUMMYFUNCTION("""COMPUTED_VALUE"""),"Gracík")</f>
        <v>Gracík</v>
      </c>
      <c r="E64" s="44" t="str">
        <f>IFERROR(__xludf.DUMMYFUNCTION("""COMPUTED_VALUE"""),"Vlastimil")</f>
        <v>Vlastimil</v>
      </c>
      <c r="F64" s="44" t="str">
        <f>IFERROR(__xludf.DUMMYFUNCTION("""COMPUTED_VALUE"""),"SVK")</f>
        <v>SVK</v>
      </c>
      <c r="G64" s="44" t="str">
        <f>IFERROR(__xludf.DUMMYFUNCTION("""COMPUTED_VALUE"""),"Oravan")</f>
        <v>Oravan</v>
      </c>
      <c r="H64" s="44" t="str">
        <f>IFERROR(__xludf.DUMMYFUNCTION("""COMPUTED_VALUE"""),"M40")</f>
        <v>M40</v>
      </c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35" t="s">
        <v>37</v>
      </c>
      <c r="B65" s="45">
        <v>601.0</v>
      </c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)"),"10002510563")</f>
        <v>10002510563</v>
      </c>
      <c r="D65" s="44" t="str">
        <f>IFERROR(__xludf.DUMMYFUNCTION("""COMPUTED_VALUE"""),"Kaňkovský")</f>
        <v>Kaňkovský</v>
      </c>
      <c r="E65" s="44" t="str">
        <f>IFERROR(__xludf.DUMMYFUNCTION("""COMPUTED_VALUE"""),"Alois")</f>
        <v>Alois</v>
      </c>
      <c r="F65" s="44" t="str">
        <f>IFERROR(__xludf.DUMMYFUNCTION("""COMPUTED_VALUE"""),"CZE")</f>
        <v>CZE</v>
      </c>
      <c r="G65" s="44" t="str">
        <f>IFERROR(__xludf.DUMMYFUNCTION("""COMPUTED_VALUE"""),"Rafkarna IDEA Cycling Team")</f>
        <v>Rafkarna IDEA Cycling Team</v>
      </c>
      <c r="H65" s="44" t="str">
        <f>IFERROR(__xludf.DUMMYFUNCTION("""COMPUTED_VALUE"""),"M40")</f>
        <v>M40</v>
      </c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45" t="s">
        <v>37</v>
      </c>
      <c r="B66" s="45">
        <v>604.0</v>
      </c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 t="str">
        <f>IFERROR(__xludf.DUMMYFUNCTION("""COMPUTED_VALUE"""),"Vajbar")</f>
        <v>Vajbar</v>
      </c>
      <c r="E66" s="44" t="str">
        <f>IFERROR(__xludf.DUMMYFUNCTION("""COMPUTED_VALUE"""),"Daniel")</f>
        <v>Daniel</v>
      </c>
      <c r="F66" s="44" t="str">
        <f>IFERROR(__xludf.DUMMYFUNCTION("""COMPUTED_VALUE"""),"CZE")</f>
        <v>CZE</v>
      </c>
      <c r="G66" s="44" t="str">
        <f>IFERROR(__xludf.DUMMYFUNCTION("""COMPUTED_VALUE"""),"SPORTCOMPLEX Břeclav")</f>
        <v>SPORTCOMPLEX Břeclav</v>
      </c>
      <c r="H66" s="44" t="str">
        <f>IFERROR(__xludf.DUMMYFUNCTION("""COMPUTED_VALUE"""),"M40")</f>
        <v>M40</v>
      </c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35" t="s">
        <v>37</v>
      </c>
      <c r="B67" s="45">
        <v>608.0</v>
      </c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)"),"10111258879")</f>
        <v>10111258879</v>
      </c>
      <c r="D67" s="44" t="str">
        <f>IFERROR(__xludf.DUMMYFUNCTION("""COMPUTED_VALUE"""),"Sanjath")</f>
        <v>Sanjath</v>
      </c>
      <c r="E67" s="44" t="str">
        <f>IFERROR(__xludf.DUMMYFUNCTION("""COMPUTED_VALUE"""),"Philip")</f>
        <v>Philip</v>
      </c>
      <c r="F67" s="44" t="str">
        <f>IFERROR(__xludf.DUMMYFUNCTION("""COMPUTED_VALUE"""),"AUT")</f>
        <v>AUT</v>
      </c>
      <c r="G67" s="44" t="str">
        <f>IFERROR(__xludf.DUMMYFUNCTION("""COMPUTED_VALUE"""),"Team Weichberger - KTM")</f>
        <v>Team Weichberger - KTM</v>
      </c>
      <c r="H67" s="44" t="str">
        <f>IFERROR(__xludf.DUMMYFUNCTION("""COMPUTED_VALUE"""),"M40")</f>
        <v>M40</v>
      </c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45" t="s">
        <v>37</v>
      </c>
      <c r="B68" s="45">
        <v>613.0</v>
      </c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 t="str">
        <f>IFERROR(__xludf.DUMMYFUNCTION("""COMPUTED_VALUE"""),"Mašek")</f>
        <v>Mašek</v>
      </c>
      <c r="E68" s="44" t="str">
        <f>IFERROR(__xludf.DUMMYFUNCTION("""COMPUTED_VALUE"""),"Petr")</f>
        <v>Petr</v>
      </c>
      <c r="F68" s="44" t="str">
        <f>IFERROR(__xludf.DUMMYFUNCTION("""COMPUTED_VALUE"""),"CZE")</f>
        <v>CZE</v>
      </c>
      <c r="G68" s="44" t="str">
        <f>IFERROR(__xludf.DUMMYFUNCTION("""COMPUTED_VALUE"""),"VARTA")</f>
        <v>VARTA</v>
      </c>
      <c r="H68" s="44" t="str">
        <f>IFERROR(__xludf.DUMMYFUNCTION("""COMPUTED_VALUE"""),"M40")</f>
        <v>M40</v>
      </c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35" t="s">
        <v>37</v>
      </c>
      <c r="B69" s="45">
        <v>616.0</v>
      </c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 t="str">
        <f>IFERROR(__xludf.DUMMYFUNCTION("""COMPUTED_VALUE"""),"Zháňal")</f>
        <v>Zháňal</v>
      </c>
      <c r="E69" s="44" t="str">
        <f>IFERROR(__xludf.DUMMYFUNCTION("""COMPUTED_VALUE"""),"Pavel")</f>
        <v>Pavel</v>
      </c>
      <c r="F69" s="44" t="str">
        <f>IFERROR(__xludf.DUMMYFUNCTION("""COMPUTED_VALUE"""),"CZE")</f>
        <v>CZE</v>
      </c>
      <c r="G69" s="44"/>
      <c r="H69" s="44" t="str">
        <f>IFERROR(__xludf.DUMMYFUNCTION("""COMPUTED_VALUE"""),"M40")</f>
        <v>M40</v>
      </c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45" t="s">
        <v>39</v>
      </c>
      <c r="B70" s="43"/>
      <c r="C70" s="41">
        <v>1.0163086282E10</v>
      </c>
      <c r="D70" s="49" t="s">
        <v>158</v>
      </c>
      <c r="E70" s="49" t="s">
        <v>159</v>
      </c>
      <c r="F70" s="49" t="s">
        <v>160</v>
      </c>
      <c r="G70" s="49" t="s">
        <v>161</v>
      </c>
      <c r="H70" s="49" t="s">
        <v>157</v>
      </c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45" t="s">
        <v>39</v>
      </c>
      <c r="B71" s="43"/>
      <c r="C71" s="41">
        <v>1.0161129714E10</v>
      </c>
      <c r="D71" s="49" t="s">
        <v>162</v>
      </c>
      <c r="E71" s="49" t="s">
        <v>163</v>
      </c>
      <c r="F71" s="49" t="s">
        <v>164</v>
      </c>
      <c r="G71" s="49" t="s">
        <v>161</v>
      </c>
      <c r="H71" s="49" t="s">
        <v>157</v>
      </c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45" t="s">
        <v>39</v>
      </c>
      <c r="B72" s="43"/>
      <c r="C72" s="37"/>
      <c r="D72" s="49" t="s">
        <v>165</v>
      </c>
      <c r="E72" s="49" t="s">
        <v>166</v>
      </c>
      <c r="F72" s="49" t="s">
        <v>164</v>
      </c>
      <c r="G72" s="49" t="s">
        <v>161</v>
      </c>
      <c r="H72" s="49" t="s">
        <v>157</v>
      </c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45" t="s">
        <v>39</v>
      </c>
      <c r="B73" s="43"/>
      <c r="C73" s="37"/>
      <c r="D73" s="49" t="s">
        <v>167</v>
      </c>
      <c r="E73" s="49" t="s">
        <v>68</v>
      </c>
      <c r="F73" s="49" t="s">
        <v>49</v>
      </c>
      <c r="G73" s="49" t="s">
        <v>168</v>
      </c>
      <c r="H73" s="49" t="s">
        <v>157</v>
      </c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45" t="s">
        <v>39</v>
      </c>
      <c r="B74" s="43"/>
      <c r="C74" s="37"/>
      <c r="D74" s="49" t="s">
        <v>169</v>
      </c>
      <c r="E74" s="49" t="s">
        <v>86</v>
      </c>
      <c r="F74" s="49" t="s">
        <v>42</v>
      </c>
      <c r="G74" s="49" t="s">
        <v>170</v>
      </c>
      <c r="H74" s="49" t="s">
        <v>157</v>
      </c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46"/>
      <c r="B75" s="47"/>
      <c r="C75" s="47"/>
      <c r="D75" s="47"/>
      <c r="E75" s="47"/>
      <c r="F75" s="47"/>
      <c r="G75" s="47"/>
      <c r="H75" s="47"/>
      <c r="I75" s="4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8"/>
      <c r="B76" s="18"/>
      <c r="C76" s="18"/>
      <c r="D76" s="1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8"/>
      <c r="B77" s="18"/>
      <c r="C77" s="18"/>
      <c r="D77" s="18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18"/>
      <c r="B78" s="18"/>
      <c r="C78" s="18"/>
      <c r="D78" s="18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8" t="s">
        <v>63</v>
      </c>
      <c r="C79" s="18">
        <v>33.0</v>
      </c>
      <c r="D79" s="18" t="s">
        <v>64</v>
      </c>
      <c r="E79" s="14"/>
      <c r="F79" s="14"/>
      <c r="G79" s="18" t="s">
        <v>65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14"/>
      <c r="B80" s="14"/>
      <c r="C80" s="14"/>
      <c r="D80" s="14"/>
      <c r="E80" s="14"/>
      <c r="F80" s="14"/>
      <c r="G80" s="18" t="s">
        <v>66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8" t="s">
        <v>67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</sheetData>
  <mergeCells count="10">
    <mergeCell ref="A12:B12"/>
    <mergeCell ref="A79:B79"/>
    <mergeCell ref="A81:B81"/>
    <mergeCell ref="C1:I2"/>
    <mergeCell ref="A2:B2"/>
    <mergeCell ref="G3:H3"/>
    <mergeCell ref="B5:C5"/>
    <mergeCell ref="G5:I5"/>
    <mergeCell ref="A7:I7"/>
    <mergeCell ref="E8:F8"/>
  </mergeCells>
  <hyperlinks>
    <hyperlink r:id="rId1" ref="G30"/>
  </hyperlin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171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172</v>
      </c>
      <c r="C9" s="21"/>
      <c r="D9" s="23" t="s">
        <v>18</v>
      </c>
      <c r="E9" s="24">
        <v>80.0</v>
      </c>
      <c r="F9" s="21"/>
      <c r="G9" s="23" t="s">
        <v>21</v>
      </c>
      <c r="H9" s="25">
        <f>IF(OR(E9="",E10=""),"",(E9/(E10*24)))</f>
        <v>42.66666667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>
        <v>0.078125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46.0</v>
      </c>
      <c r="D12" s="18" t="s">
        <v>25</v>
      </c>
      <c r="E12" s="26">
        <v>45.0</v>
      </c>
      <c r="F12" s="28"/>
      <c r="G12" s="18" t="s">
        <v>26</v>
      </c>
      <c r="H12" s="26">
        <v>32.0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140.0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)"),"10047423886")</f>
        <v>10047423886</v>
      </c>
      <c r="D15" s="37" t="str">
        <f>IFERROR(__xludf.DUMMYFUNCTION("""COMPUTED_VALUE"""),"Faltýnek")</f>
        <v>Faltýnek</v>
      </c>
      <c r="E15" s="37" t="str">
        <f>IFERROR(__xludf.DUMMYFUNCTION("""COMPUTED_VALUE"""),"Jan")</f>
        <v>Jan</v>
      </c>
      <c r="F15" s="37" t="str">
        <f>IFERROR(__xludf.DUMMYFUNCTION("""COMPUTED_VALUE"""),"CZE")</f>
        <v>CZE</v>
      </c>
      <c r="G15" s="37" t="str">
        <f>IFERROR(__xludf.DUMMYFUNCTION("""COMPUTED_VALUE"""),"Fany Gastro Integray L28")</f>
        <v>Fany Gastro Integray L28</v>
      </c>
      <c r="H15" s="37" t="str">
        <f>IFERROR(__xludf.DUMMYFUNCTION("""COMPUTED_VALUE"""),"U23MEN")</f>
        <v>U23MEN</v>
      </c>
      <c r="I15" s="39">
        <v>0.078125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119.0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)"),"10063942279")</f>
        <v>10063942279</v>
      </c>
      <c r="D16" s="37" t="str">
        <f>IFERROR(__xludf.DUMMYFUNCTION("""COMPUTED_VALUE"""),"Kapela")</f>
        <v>Kapela</v>
      </c>
      <c r="E16" s="37" t="str">
        <f>IFERROR(__xludf.DUMMYFUNCTION("""COMPUTED_VALUE"""),"Marek")</f>
        <v>Marek</v>
      </c>
      <c r="F16" s="37" t="str">
        <f>IFERROR(__xludf.DUMMYFUNCTION("""COMPUTED_VALUE"""),"POL")</f>
        <v>POL</v>
      </c>
      <c r="G16" s="37" t="str">
        <f>IFERROR(__xludf.DUMMYFUNCTION("""COMPUTED_VALUE"""),"Klub Kolarski Tarnovia")</f>
        <v>Klub Kolarski Tarnovia</v>
      </c>
      <c r="H16" s="37" t="str">
        <f>IFERROR(__xludf.DUMMYFUNCTION("""COMPUTED_VALUE"""),"U23MEN")</f>
        <v>U23MEN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104.0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)"),"10144300719")</f>
        <v>10144300719</v>
      </c>
      <c r="D17" s="37" t="str">
        <f>IFERROR(__xludf.DUMMYFUNCTION("""COMPUTED_VALUE"""),"Grósz")</f>
        <v>Grósz</v>
      </c>
      <c r="E17" s="37" t="str">
        <f>IFERROR(__xludf.DUMMYFUNCTION("""COMPUTED_VALUE"""),"Gergő")</f>
        <v>Gergő</v>
      </c>
      <c r="F17" s="37" t="str">
        <f>IFERROR(__xludf.DUMMYFUNCTION("""COMPUTED_VALUE"""),"HUN")</f>
        <v>HUN</v>
      </c>
      <c r="G17" s="37" t="str">
        <f>IFERROR(__xludf.DUMMYFUNCTION("""COMPUTED_VALUE"""),"ARBÖ Kärnten Sport Feld am See")</f>
        <v>ARBÖ Kärnten Sport Feld am See</v>
      </c>
      <c r="H17" s="37" t="str">
        <f>IFERROR(__xludf.DUMMYFUNCTION("""COMPUTED_VALUE"""),"U23MEN")</f>
        <v>U23MEN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106.0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)"),"10063367858")</f>
        <v>10063367858</v>
      </c>
      <c r="D18" s="37" t="str">
        <f>IFERROR(__xludf.DUMMYFUNCTION("""COMPUTED_VALUE"""),"HANCZ")</f>
        <v>HANCZ</v>
      </c>
      <c r="E18" s="37" t="str">
        <f>IFERROR(__xludf.DUMMYFUNCTION("""COMPUTED_VALUE"""),"Tamás")</f>
        <v>Tamás</v>
      </c>
      <c r="F18" s="37" t="str">
        <f>IFERROR(__xludf.DUMMYFUNCTION("""COMPUTED_VALUE"""),"HUN")</f>
        <v>HUN</v>
      </c>
      <c r="G18" s="37" t="str">
        <f>IFERROR(__xludf.DUMMYFUNCTION("""COMPUTED_VALUE"""),"ASPIN Cycling Team (ACT)")</f>
        <v>ASPIN Cycling Team (ACT)</v>
      </c>
      <c r="H18" s="37" t="str">
        <f>IFERROR(__xludf.DUMMYFUNCTION("""COMPUTED_VALUE"""),"U23MEN")</f>
        <v>U23MEN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127.0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)"),"10035036885")</f>
        <v>10035036885</v>
      </c>
      <c r="D19" s="37" t="str">
        <f>IFERROR(__xludf.DUMMYFUNCTION("""COMPUTED_VALUE"""),"Preyler")</f>
        <v>Preyler</v>
      </c>
      <c r="E19" s="41" t="str">
        <f>IFERROR(__xludf.DUMMYFUNCTION("""COMPUTED_VALUE"""),"David")</f>
        <v>David</v>
      </c>
      <c r="F19" s="37" t="str">
        <f>IFERROR(__xludf.DUMMYFUNCTION("""COMPUTED_VALUE"""),"AUT")</f>
        <v>AUT</v>
      </c>
      <c r="G19" s="37" t="str">
        <f>IFERROR(__xludf.DUMMYFUNCTION("""COMPUTED_VALUE"""),"Schwingshandl Intralogistics")</f>
        <v>Schwingshandl Intralogistics</v>
      </c>
      <c r="H19" s="37" t="str">
        <f>IFERROR(__xludf.DUMMYFUNCTION("""COMPUTED_VALUE"""),"U23MEN")</f>
        <v>U23MEN</v>
      </c>
      <c r="I19" s="39">
        <v>0.07829861111111111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126.0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)"),"10048923447")</f>
        <v>10048923447</v>
      </c>
      <c r="D20" s="37" t="str">
        <f>IFERROR(__xludf.DUMMYFUNCTION("""COMPUTED_VALUE"""),"Zobl")</f>
        <v>Zobl</v>
      </c>
      <c r="E20" s="37" t="str">
        <f>IFERROR(__xludf.DUMMYFUNCTION("""COMPUTED_VALUE"""),"Valentin")</f>
        <v>Valentin</v>
      </c>
      <c r="F20" s="37" t="str">
        <f>IFERROR(__xludf.DUMMYFUNCTION("""COMPUTED_VALUE"""),"AUT")</f>
        <v>AUT</v>
      </c>
      <c r="G20" s="37" t="str">
        <f>IFERROR(__xludf.DUMMYFUNCTION("""COMPUTED_VALUE"""),"RC ARBÖ Wels")</f>
        <v>RC ARBÖ Wels</v>
      </c>
      <c r="H20" s="37" t="str">
        <f>IFERROR(__xludf.DUMMYFUNCTION("""COMPUTED_VALUE"""),"U23MEN")</f>
        <v>U23MEN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107.0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)"),"10139929049")</f>
        <v>10139929049</v>
      </c>
      <c r="D21" s="37" t="str">
        <f>IFERROR(__xludf.DUMMYFUNCTION("""COMPUTED_VALUE"""),"Pospíšil")</f>
        <v>Pospíšil</v>
      </c>
      <c r="E21" s="37" t="str">
        <f>IFERROR(__xludf.DUMMYFUNCTION("""COMPUTED_VALUE"""),"Jiří")</f>
        <v>Jiří</v>
      </c>
      <c r="F21" s="37" t="str">
        <f>IFERROR(__xludf.DUMMYFUNCTION("""COMPUTED_VALUE"""),"CZE")</f>
        <v>CZE</v>
      </c>
      <c r="G21" s="37" t="str">
        <f>IFERROR(__xludf.DUMMYFUNCTION("""COMPUTED_VALUE"""),"ATT INVESTMENTS")</f>
        <v>ATT INVESTMENTS</v>
      </c>
      <c r="H21" s="37" t="str">
        <f>IFERROR(__xludf.DUMMYFUNCTION("""COMPUTED_VALUE"""),"U23MEN")</f>
        <v>U23MEN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131.0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)"),"10137495864")</f>
        <v>10137495864</v>
      </c>
      <c r="D22" s="37" t="str">
        <f>IFERROR(__xludf.DUMMYFUNCTION("""COMPUTED_VALUE"""),"Hejtmánek")</f>
        <v>Hejtmánek</v>
      </c>
      <c r="E22" s="37" t="str">
        <f>IFERROR(__xludf.DUMMYFUNCTION("""COMPUTED_VALUE"""),"Antonín")</f>
        <v>Antonín</v>
      </c>
      <c r="F22" s="37" t="str">
        <f>IFERROR(__xludf.DUMMYFUNCTION("""COMPUTED_VALUE"""),"CZE")</f>
        <v>CZE</v>
      </c>
      <c r="G22" s="37" t="str">
        <f>IFERROR(__xludf.DUMMYFUNCTION("""COMPUTED_VALUE"""),"Team Forman Energetic")</f>
        <v>Team Forman Energetic</v>
      </c>
      <c r="H22" s="37" t="str">
        <f>IFERROR(__xludf.DUMMYFUNCTION("""COMPUTED_VALUE"""),"U23MEN")</f>
        <v>U23MEN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139.0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)"),"10047339216")</f>
        <v>10047339216</v>
      </c>
      <c r="D23" s="37" t="str">
        <f>IFERROR(__xludf.DUMMYFUNCTION("""COMPUTED_VALUE"""),"Mitáš")</f>
        <v>Mitáš</v>
      </c>
      <c r="E23" s="37" t="str">
        <f>IFERROR(__xludf.DUMMYFUNCTION("""COMPUTED_VALUE"""),"Robert")</f>
        <v>Robert</v>
      </c>
      <c r="F23" s="37" t="str">
        <f>IFERROR(__xludf.DUMMYFUNCTION("""COMPUTED_VALUE"""),"CZE")</f>
        <v>CZE</v>
      </c>
      <c r="G23" s="37" t="str">
        <f>IFERROR(__xludf.DUMMYFUNCTION("""COMPUTED_VALUE"""),"Fany Gastro Integray L27")</f>
        <v>Fany Gastro Integray L27</v>
      </c>
      <c r="H23" s="37" t="str">
        <f>IFERROR(__xludf.DUMMYFUNCTION("""COMPUTED_VALUE"""),"U23MEN")</f>
        <v>U23MEN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120.0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)"),"10097702727")</f>
        <v>10097702727</v>
      </c>
      <c r="D24" s="37" t="str">
        <f>IFERROR(__xludf.DUMMYFUNCTION("""COMPUTED_VALUE"""),"Czekay")</f>
        <v>Czekay</v>
      </c>
      <c r="E24" s="37" t="str">
        <f>IFERROR(__xludf.DUMMYFUNCTION("""COMPUTED_VALUE"""),"Wiktor")</f>
        <v>Wiktor</v>
      </c>
      <c r="F24" s="37" t="str">
        <f>IFERROR(__xludf.DUMMYFUNCTION("""COMPUTED_VALUE"""),"POL")</f>
        <v>POL</v>
      </c>
      <c r="G24" s="37" t="str">
        <f>IFERROR(__xludf.DUMMYFUNCTION("""COMPUTED_VALUE"""),"Klub Kolarski Tarnovia")</f>
        <v>Klub Kolarski Tarnovia</v>
      </c>
      <c r="H24" s="37" t="str">
        <f>IFERROR(__xludf.DUMMYFUNCTION("""COMPUTED_VALUE"""),"U23MEN")</f>
        <v>U23MEN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110.0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)"),"10104930641")</f>
        <v>10104930641</v>
      </c>
      <c r="D25" s="37" t="str">
        <f>IFERROR(__xludf.DUMMYFUNCTION("""COMPUTED_VALUE"""),"BŁASZCZYK")</f>
        <v>BŁASZCZYK</v>
      </c>
      <c r="E25" s="37" t="str">
        <f>IFERROR(__xludf.DUMMYFUNCTION("""COMPUTED_VALUE"""),"MIŁOSZ")</f>
        <v>MIŁOSZ</v>
      </c>
      <c r="F25" s="37" t="str">
        <f>IFERROR(__xludf.DUMMYFUNCTION("""COMPUTED_VALUE"""),"POL")</f>
        <v>POL</v>
      </c>
      <c r="G25" s="37" t="str">
        <f>IFERROR(__xludf.DUMMYFUNCTION("""COMPUTED_VALUE"""),"DAR-BUD TEAM")</f>
        <v>DAR-BUD TEAM</v>
      </c>
      <c r="H25" s="37" t="str">
        <f>IFERROR(__xludf.DUMMYFUNCTION("""COMPUTED_VALUE"""),"U23MEN")</f>
        <v>U23MEN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129.0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)"),"10046604743")</f>
        <v>10046604743</v>
      </c>
      <c r="D26" s="37" t="str">
        <f>IFERROR(__xludf.DUMMYFUNCTION("""COMPUTED_VALUE"""),"Ševčík")</f>
        <v>Ševčík</v>
      </c>
      <c r="E26" s="37" t="str">
        <f>IFERROR(__xludf.DUMMYFUNCTION("""COMPUTED_VALUE"""),"Jakub")</f>
        <v>Jakub</v>
      </c>
      <c r="F26" s="37" t="str">
        <f>IFERROR(__xludf.DUMMYFUNCTION("""COMPUTED_VALUE"""),"CZE")</f>
        <v>CZE</v>
      </c>
      <c r="G26" s="37" t="str">
        <f>IFERROR(__xludf.DUMMYFUNCTION("""COMPUTED_VALUE"""),"Team Forman Energetic")</f>
        <v>Team Forman Energetic</v>
      </c>
      <c r="H26" s="37" t="str">
        <f>IFERROR(__xludf.DUMMYFUNCTION("""COMPUTED_VALUE"""),"U23MEN")</f>
        <v>U23MEN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137.0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)"),"10054141239")</f>
        <v>10054141239</v>
      </c>
      <c r="D27" s="37" t="str">
        <f>IFERROR(__xludf.DUMMYFUNCTION("""COMPUTED_VALUE"""),"Kniha")</f>
        <v>Kniha</v>
      </c>
      <c r="E27" s="37" t="str">
        <f>IFERROR(__xludf.DUMMYFUNCTION("""COMPUTED_VALUE"""),"Petr")</f>
        <v>Petr</v>
      </c>
      <c r="F27" s="37" t="str">
        <f>IFERROR(__xludf.DUMMYFUNCTION("""COMPUTED_VALUE"""),"CZE")</f>
        <v>CZE</v>
      </c>
      <c r="G27" s="37" t="str">
        <f>IFERROR(__xludf.DUMMYFUNCTION("""COMPUTED_VALUE"""),"UNLIMITED KM TRADING CZ")</f>
        <v>UNLIMITED KM TRADING CZ</v>
      </c>
      <c r="H27" s="37" t="str">
        <f>IFERROR(__xludf.DUMMYFUNCTION("""COMPUTED_VALUE"""),"U23MEN")</f>
        <v>U23MEN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134.0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)"),"10079642236")</f>
        <v>10079642236</v>
      </c>
      <c r="D28" s="37" t="str">
        <f>IFERROR(__xludf.DUMMYFUNCTION("""COMPUTED_VALUE"""),"RICHTER")</f>
        <v>RICHTER</v>
      </c>
      <c r="E28" s="37" t="str">
        <f>IFERROR(__xludf.DUMMYFUNCTION("""COMPUTED_VALUE"""),"Filip")</f>
        <v>Filip</v>
      </c>
      <c r="F28" s="37" t="str">
        <f>IFERROR(__xludf.DUMMYFUNCTION("""COMPUTED_VALUE"""),"CZE")</f>
        <v>CZE</v>
      </c>
      <c r="G28" s="37" t="str">
        <f>IFERROR(__xludf.DUMMYFUNCTION("""COMPUTED_VALUE"""),"TJ FAVORIT BRNO")</f>
        <v>TJ FAVORIT BRNO</v>
      </c>
      <c r="H28" s="37" t="str">
        <f>IFERROR(__xludf.DUMMYFUNCTION("""COMPUTED_VALUE"""),"U23MEN")</f>
        <v>U23MEN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130.0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)"),"10105522846")</f>
        <v>10105522846</v>
      </c>
      <c r="D29" s="37" t="str">
        <f>IFERROR(__xludf.DUMMYFUNCTION("""COMPUTED_VALUE"""),"Káňa")</f>
        <v>Káňa</v>
      </c>
      <c r="E29" s="37" t="str">
        <f>IFERROR(__xludf.DUMMYFUNCTION("""COMPUTED_VALUE"""),"Robin")</f>
        <v>Robin</v>
      </c>
      <c r="F29" s="37" t="str">
        <f>IFERROR(__xludf.DUMMYFUNCTION("""COMPUTED_VALUE"""),"CZE")</f>
        <v>CZE</v>
      </c>
      <c r="G29" s="37" t="str">
        <f>IFERROR(__xludf.DUMMYFUNCTION("""COMPUTED_VALUE"""),"Team Forman Energetic")</f>
        <v>Team Forman Energetic</v>
      </c>
      <c r="H29" s="37" t="str">
        <f>IFERROR(__xludf.DUMMYFUNCTION("""COMPUTED_VALUE"""),"U23MEN")</f>
        <v>U23MEN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102.0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)"),"10107231763")</f>
        <v>10107231763</v>
      </c>
      <c r="D30" s="37" t="str">
        <f>IFERROR(__xludf.DUMMYFUNCTION("""COMPUTED_VALUE"""),"Schabernig")</f>
        <v>Schabernig</v>
      </c>
      <c r="E30" s="37" t="str">
        <f>IFERROR(__xludf.DUMMYFUNCTION("""COMPUTED_VALUE"""),"Simon Wolfgang")</f>
        <v>Simon Wolfgang</v>
      </c>
      <c r="F30" s="37" t="str">
        <f>IFERROR(__xludf.DUMMYFUNCTION("""COMPUTED_VALUE"""),"AUT")</f>
        <v>AUT</v>
      </c>
      <c r="G30" s="37" t="str">
        <f>IFERROR(__xludf.DUMMYFUNCTION("""COMPUTED_VALUE"""),"ARBÖ Kärnten Sport Feld am See")</f>
        <v>ARBÖ Kärnten Sport Feld am See</v>
      </c>
      <c r="H30" s="37" t="str">
        <f>IFERROR(__xludf.DUMMYFUNCTION("""COMPUTED_VALUE"""),"U23MEN")</f>
        <v>U23MEN</v>
      </c>
      <c r="I30" s="39">
        <v>0.07951388888888888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122.0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)"),"10094404222")</f>
        <v>10094404222</v>
      </c>
      <c r="D31" s="37" t="str">
        <f>IFERROR(__xludf.DUMMYFUNCTION("""COMPUTED_VALUE"""),"Mumot")</f>
        <v>Mumot</v>
      </c>
      <c r="E31" s="37" t="str">
        <f>IFERROR(__xludf.DUMMYFUNCTION("""COMPUTED_VALUE"""),"Francizek")</f>
        <v>Francizek</v>
      </c>
      <c r="F31" s="37" t="str">
        <f>IFERROR(__xludf.DUMMYFUNCTION("""COMPUTED_VALUE"""),"POL")</f>
        <v>POL</v>
      </c>
      <c r="G31" s="37" t="str">
        <f>IFERROR(__xludf.DUMMYFUNCTION("""COMPUTED_VALUE"""),"Klub Kolarski Tarnovia")</f>
        <v>Klub Kolarski Tarnovia</v>
      </c>
      <c r="H31" s="37" t="str">
        <f>IFERROR(__xludf.DUMMYFUNCTION("""COMPUTED_VALUE"""),"U23MEN")</f>
        <v>U23MEN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108.0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)"),"10117153752")</f>
        <v>10117153752</v>
      </c>
      <c r="D32" s="37" t="str">
        <f>IFERROR(__xludf.DUMMYFUNCTION("""COMPUTED_VALUE"""),"Fischer")</f>
        <v>Fischer</v>
      </c>
      <c r="E32" s="37" t="str">
        <f>IFERROR(__xludf.DUMMYFUNCTION("""COMPUTED_VALUE"""),"Tobias")</f>
        <v>Tobias</v>
      </c>
      <c r="F32" s="37" t="str">
        <f>IFERROR(__xludf.DUMMYFUNCTION("""COMPUTED_VALUE"""),"AUT")</f>
        <v>AUT</v>
      </c>
      <c r="G32" s="37" t="str">
        <f>IFERROR(__xludf.DUMMYFUNCTION("""COMPUTED_VALUE"""),"LG / Klaus")</f>
        <v>LG / Klaus</v>
      </c>
      <c r="H32" s="37" t="str">
        <f>IFERROR(__xludf.DUMMYFUNCTION("""COMPUTED_VALUE"""),"U23MEN")</f>
        <v>U23MEN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123.0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)"),"10073725640")</f>
        <v>10073725640</v>
      </c>
      <c r="D33" s="37" t="str">
        <f>IFERROR(__xludf.DUMMYFUNCTION("""COMPUTED_VALUE"""),"Twardoch")</f>
        <v>Twardoch</v>
      </c>
      <c r="E33" s="37" t="str">
        <f>IFERROR(__xludf.DUMMYFUNCTION("""COMPUTED_VALUE"""),"Jeremiasz")</f>
        <v>Jeremiasz</v>
      </c>
      <c r="F33" s="37" t="str">
        <f>IFERROR(__xludf.DUMMYFUNCTION("""COMPUTED_VALUE"""),"POL")</f>
        <v>POL</v>
      </c>
      <c r="G33" s="37" t="str">
        <f>IFERROR(__xludf.DUMMYFUNCTION("""COMPUTED_VALUE"""),"LUKS Trójka Piaseczno")</f>
        <v>LUKS Trójka Piaseczno</v>
      </c>
      <c r="H33" s="37" t="str">
        <f>IFERROR(__xludf.DUMMYFUNCTION("""COMPUTED_VALUE"""),"U23MEN")</f>
        <v>U23MEN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133.0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)"),"10106726555")</f>
        <v>10106726555</v>
      </c>
      <c r="D34" s="37" t="str">
        <f>IFERROR(__xludf.DUMMYFUNCTION("""COMPUTED_VALUE"""),"PROCHÁZKA")</f>
        <v>PROCHÁZKA</v>
      </c>
      <c r="E34" s="37" t="str">
        <f>IFERROR(__xludf.DUMMYFUNCTION("""COMPUTED_VALUE"""),"Matěj")</f>
        <v>Matěj</v>
      </c>
      <c r="F34" s="37" t="str">
        <f>IFERROR(__xludf.DUMMYFUNCTION("""COMPUTED_VALUE"""),"CZE")</f>
        <v>CZE</v>
      </c>
      <c r="G34" s="37" t="str">
        <f>IFERROR(__xludf.DUMMYFUNCTION("""COMPUTED_VALUE"""),"TJ FAVORIT BRNO")</f>
        <v>TJ FAVORIT BRNO</v>
      </c>
      <c r="H34" s="37" t="str">
        <f>IFERROR(__xludf.DUMMYFUNCTION("""COMPUTED_VALUE"""),"U23MEN")</f>
        <v>U23MEN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143.0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)"),"10075353725")</f>
        <v>10075353725</v>
      </c>
      <c r="D35" s="37" t="str">
        <f>IFERROR(__xludf.DUMMYFUNCTION("""COMPUTED_VALUE"""),"Kraus")</f>
        <v>Kraus</v>
      </c>
      <c r="E35" s="37" t="str">
        <f>IFERROR(__xludf.DUMMYFUNCTION("""COMPUTED_VALUE"""),"Lukas")</f>
        <v>Lukas</v>
      </c>
      <c r="F35" s="37" t="str">
        <f>IFERROR(__xludf.DUMMYFUNCTION("""COMPUTED_VALUE"""),"AUT")</f>
        <v>AUT</v>
      </c>
      <c r="G35" s="37" t="str">
        <f>IFERROR(__xludf.DUMMYFUNCTION("""COMPUTED_VALUE"""),"Arbö ON Farahd")</f>
        <v>Arbö ON Farahd</v>
      </c>
      <c r="H35" s="37" t="str">
        <f>IFERROR(__xludf.DUMMYFUNCTION("""COMPUTED_VALUE"""),"U23MEN")</f>
        <v>U23MEN</v>
      </c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105.0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)"),"10096052111")</f>
        <v>10096052111</v>
      </c>
      <c r="D36" s="37" t="str">
        <f>IFERROR(__xludf.DUMMYFUNCTION("""COMPUTED_VALUE"""),"Krumpl")</f>
        <v>Krumpl</v>
      </c>
      <c r="E36" s="37" t="str">
        <f>IFERROR(__xludf.DUMMYFUNCTION("""COMPUTED_VALUE"""),"Lorenz")</f>
        <v>Lorenz</v>
      </c>
      <c r="F36" s="37" t="str">
        <f>IFERROR(__xludf.DUMMYFUNCTION("""COMPUTED_VALUE"""),"AUT")</f>
        <v>AUT</v>
      </c>
      <c r="G36" s="37" t="str">
        <f>IFERROR(__xludf.DUMMYFUNCTION("""COMPUTED_VALUE"""),"ARBÖ Kärnten Sport Feld am See")</f>
        <v>ARBÖ Kärnten Sport Feld am See</v>
      </c>
      <c r="H36" s="37" t="str">
        <f>IFERROR(__xludf.DUMMYFUNCTION("""COMPUTED_VALUE"""),"U23MEN")</f>
        <v>U23MEN</v>
      </c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145.0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)"),"10117782939")</f>
        <v>10117782939</v>
      </c>
      <c r="D37" s="37" t="str">
        <f>IFERROR(__xludf.DUMMYFUNCTION("""COMPUTED_VALUE"""),"Grobař")</f>
        <v>Grobař</v>
      </c>
      <c r="E37" s="37" t="str">
        <f>IFERROR(__xludf.DUMMYFUNCTION("""COMPUTED_VALUE"""),"Martin")</f>
        <v>Martin</v>
      </c>
      <c r="F37" s="37" t="str">
        <f>IFERROR(__xludf.DUMMYFUNCTION("""COMPUTED_VALUE"""),"SVK")</f>
        <v>SVK</v>
      </c>
      <c r="G37" s="37" t="str">
        <f>IFERROR(__xludf.DUMMYFUNCTION("""COMPUTED_VALUE"""),"CK CykloGlajza BB")</f>
        <v>CK CykloGlajza BB</v>
      </c>
      <c r="H37" s="37" t="str">
        <f>IFERROR(__xludf.DUMMYFUNCTION("""COMPUTED_VALUE"""),"U23MEN")</f>
        <v>U23MEN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125.0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)"),"10164680621")</f>
        <v>10164680621</v>
      </c>
      <c r="D38" s="37" t="str">
        <f>IFERROR(__xludf.DUMMYFUNCTION("""COMPUTED_VALUE"""),"Bartík")</f>
        <v>Bartík</v>
      </c>
      <c r="E38" s="37" t="str">
        <f>IFERROR(__xludf.DUMMYFUNCTION("""COMPUTED_VALUE"""),"Ondřej")</f>
        <v>Ondřej</v>
      </c>
      <c r="F38" s="37" t="str">
        <f>IFERROR(__xludf.DUMMYFUNCTION("""COMPUTED_VALUE"""),"CZE")</f>
        <v>CZE</v>
      </c>
      <c r="G38" s="37" t="str">
        <f>IFERROR(__xludf.DUMMYFUNCTION("""COMPUTED_VALUE"""),"Rafkarna IDEA Cycling Team")</f>
        <v>Rafkarna IDEA Cycling Team</v>
      </c>
      <c r="H38" s="37" t="str">
        <f>IFERROR(__xludf.DUMMYFUNCTION("""COMPUTED_VALUE"""),"U23MEN")</f>
        <v>U23MEN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>
        <v>25.0</v>
      </c>
      <c r="B39" s="35">
        <v>103.0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)"),"10093926696")</f>
        <v>10093926696</v>
      </c>
      <c r="D39" s="37" t="str">
        <f>IFERROR(__xludf.DUMMYFUNCTION("""COMPUTED_VALUE"""),"Mindszenti")</f>
        <v>Mindszenti</v>
      </c>
      <c r="E39" s="37" t="str">
        <f>IFERROR(__xludf.DUMMYFUNCTION("""COMPUTED_VALUE"""),"Ákos")</f>
        <v>Ákos</v>
      </c>
      <c r="F39" s="37" t="str">
        <f>IFERROR(__xludf.DUMMYFUNCTION("""COMPUTED_VALUE"""),"HUN")</f>
        <v>HUN</v>
      </c>
      <c r="G39" s="37" t="str">
        <f>IFERROR(__xludf.DUMMYFUNCTION("""COMPUTED_VALUE"""),"ARBÖ Kärnten Sport Feld am See")</f>
        <v>ARBÖ Kärnten Sport Feld am See</v>
      </c>
      <c r="H39" s="37" t="str">
        <f>IFERROR(__xludf.DUMMYFUNCTION("""COMPUTED_VALUE"""),"U23MEN")</f>
        <v>U23MEN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>
        <v>26.0</v>
      </c>
      <c r="B40" s="35">
        <v>109.0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)"),"10092997116")</f>
        <v>10092997116</v>
      </c>
      <c r="D40" s="37" t="str">
        <f>IFERROR(__xludf.DUMMYFUNCTION("""COMPUTED_VALUE"""),"Kejnar")</f>
        <v>Kejnar</v>
      </c>
      <c r="E40" s="37" t="str">
        <f>IFERROR(__xludf.DUMMYFUNCTION("""COMPUTED_VALUE"""),"Daniel")</f>
        <v>Daniel</v>
      </c>
      <c r="F40" s="37" t="str">
        <f>IFERROR(__xludf.DUMMYFUNCTION("""COMPUTED_VALUE"""),"CZE")</f>
        <v>CZE</v>
      </c>
      <c r="G40" s="37" t="str">
        <f>IFERROR(__xludf.DUMMYFUNCTION("""COMPUTED_VALUE"""),"Cykloteam MXM Hulín")</f>
        <v>Cykloteam MXM Hulín</v>
      </c>
      <c r="H40" s="37" t="str">
        <f>IFERROR(__xludf.DUMMYFUNCTION("""COMPUTED_VALUE"""),"U23MEN")</f>
        <v>U23MEN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>
        <v>27.0</v>
      </c>
      <c r="B41" s="35">
        <v>128.0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)"),"10079785009")</f>
        <v>10079785009</v>
      </c>
      <c r="D41" s="37" t="str">
        <f>IFERROR(__xludf.DUMMYFUNCTION("""COMPUTED_VALUE"""),"Horyna")</f>
        <v>Horyna</v>
      </c>
      <c r="E41" s="37" t="str">
        <f>IFERROR(__xludf.DUMMYFUNCTION("""COMPUTED_VALUE"""),"Vlastimil")</f>
        <v>Vlastimil</v>
      </c>
      <c r="F41" s="37" t="str">
        <f>IFERROR(__xludf.DUMMYFUNCTION("""COMPUTED_VALUE"""),"CZE")</f>
        <v>CZE</v>
      </c>
      <c r="G41" s="37" t="str">
        <f>IFERROR(__xludf.DUMMYFUNCTION("""COMPUTED_VALUE"""),"Sportraces cycling team")</f>
        <v>Sportraces cycling team</v>
      </c>
      <c r="H41" s="37" t="str">
        <f>IFERROR(__xludf.DUMMYFUNCTION("""COMPUTED_VALUE"""),"U23MEN")</f>
        <v>U23MEN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>
        <v>28.0</v>
      </c>
      <c r="B42" s="35">
        <v>144.0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)"),"10108133156")</f>
        <v>10108133156</v>
      </c>
      <c r="D42" s="37" t="str">
        <f>IFERROR(__xludf.DUMMYFUNCTION("""COMPUTED_VALUE"""),"Vinš")</f>
        <v>Vinš</v>
      </c>
      <c r="E42" s="37" t="str">
        <f>IFERROR(__xludf.DUMMYFUNCTION("""COMPUTED_VALUE"""),"Josef")</f>
        <v>Josef</v>
      </c>
      <c r="F42" s="37" t="str">
        <f>IFERROR(__xludf.DUMMYFUNCTION("""COMPUTED_VALUE"""),"CZE")</f>
        <v>CZE</v>
      </c>
      <c r="G42" s="37" t="str">
        <f>IFERROR(__xludf.DUMMYFUNCTION("""COMPUTED_VALUE"""),"TJ AUTO ŠKODA Mladá Boleslav")</f>
        <v>TJ AUTO ŠKODA Mladá Boleslav</v>
      </c>
      <c r="H42" s="37" t="str">
        <f>IFERROR(__xludf.DUMMYFUNCTION("""COMPUTED_VALUE"""),"U23MEN")</f>
        <v>U23MEN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>
        <v>29.0</v>
      </c>
      <c r="B43" s="35">
        <v>121.0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)"),"10084480314")</f>
        <v>10084480314</v>
      </c>
      <c r="D43" s="37" t="str">
        <f>IFERROR(__xludf.DUMMYFUNCTION("""COMPUTED_VALUE"""),"Grządzie")</f>
        <v>Grządzie</v>
      </c>
      <c r="E43" s="37" t="str">
        <f>IFERROR(__xludf.DUMMYFUNCTION("""COMPUTED_VALUE"""),"Karol")</f>
        <v>Karol</v>
      </c>
      <c r="F43" s="37" t="str">
        <f>IFERROR(__xludf.DUMMYFUNCTION("""COMPUTED_VALUE"""),"POL")</f>
        <v>POL</v>
      </c>
      <c r="G43" s="37" t="str">
        <f>IFERROR(__xludf.DUMMYFUNCTION("""COMPUTED_VALUE"""),"Klub Kolarski Tarnovia")</f>
        <v>Klub Kolarski Tarnovia</v>
      </c>
      <c r="H43" s="37" t="str">
        <f>IFERROR(__xludf.DUMMYFUNCTION("""COMPUTED_VALUE"""),"U23MEN")</f>
        <v>U23MEN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>
        <v>30.0</v>
      </c>
      <c r="B44" s="35">
        <v>141.0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)"),"10047430758")</f>
        <v>10047430758</v>
      </c>
      <c r="D44" s="37" t="str">
        <f>IFERROR(__xludf.DUMMYFUNCTION("""COMPUTED_VALUE"""),"Tabara")</f>
        <v>Tabara</v>
      </c>
      <c r="E44" s="37" t="str">
        <f>IFERROR(__xludf.DUMMYFUNCTION("""COMPUTED_VALUE"""),"Šimon")</f>
        <v>Šimon</v>
      </c>
      <c r="F44" s="37" t="str">
        <f>IFERROR(__xludf.DUMMYFUNCTION("""COMPUTED_VALUE"""),"CZE")</f>
        <v>CZE</v>
      </c>
      <c r="G44" s="37" t="str">
        <f>IFERROR(__xludf.DUMMYFUNCTION("""COMPUTED_VALUE"""),"Fany Gastro Integray L29")</f>
        <v>Fany Gastro Integray L29</v>
      </c>
      <c r="H44" s="37" t="str">
        <f>IFERROR(__xludf.DUMMYFUNCTION("""COMPUTED_VALUE"""),"U23MEN")</f>
        <v>U23MEN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>
        <v>31.0</v>
      </c>
      <c r="B45" s="35">
        <v>135.0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)"),"10080738235")</f>
        <v>10080738235</v>
      </c>
      <c r="D45" s="37" t="str">
        <f>IFERROR(__xludf.DUMMYFUNCTION("""COMPUTED_VALUE"""),"ZAPLETAL")</f>
        <v>ZAPLETAL</v>
      </c>
      <c r="E45" s="37" t="str">
        <f>IFERROR(__xludf.DUMMYFUNCTION("""COMPUTED_VALUE"""),"Jan")</f>
        <v>Jan</v>
      </c>
      <c r="F45" s="37" t="str">
        <f>IFERROR(__xludf.DUMMYFUNCTION("""COMPUTED_VALUE"""),"CZE")</f>
        <v>CZE</v>
      </c>
      <c r="G45" s="37" t="str">
        <f>IFERROR(__xludf.DUMMYFUNCTION("""COMPUTED_VALUE"""),"TJ FAVORIT BRNO")</f>
        <v>TJ FAVORIT BRNO</v>
      </c>
      <c r="H45" s="37" t="str">
        <f>IFERROR(__xludf.DUMMYFUNCTION("""COMPUTED_VALUE"""),"U23MEN")</f>
        <v>U23MEN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>
        <v>32.0</v>
      </c>
      <c r="B46" s="35">
        <v>111.0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)"),"10106954406")</f>
        <v>10106954406</v>
      </c>
      <c r="D46" s="37" t="str">
        <f>IFERROR(__xludf.DUMMYFUNCTION("""COMPUTED_VALUE"""),"Dominik Kevin")</f>
        <v>Dominik Kevin</v>
      </c>
      <c r="E46" s="37" t="str">
        <f>IFERROR(__xludf.DUMMYFUNCTION("""COMPUTED_VALUE"""),"Makranczy")</f>
        <v>Makranczy</v>
      </c>
      <c r="F46" s="37" t="str">
        <f>IFERROR(__xludf.DUMMYFUNCTION("""COMPUTED_VALUE"""),"HUN")</f>
        <v>HUN</v>
      </c>
      <c r="G46" s="37" t="str">
        <f>IFERROR(__xludf.DUMMYFUNCTION("""COMPUTED_VALUE"""),"Green Riders Cycling Team")</f>
        <v>Green Riders Cycling Team</v>
      </c>
      <c r="H46" s="37" t="str">
        <f>IFERROR(__xludf.DUMMYFUNCTION("""COMPUTED_VALUE"""),"U23MEN")</f>
        <v>U23MEN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35" t="s">
        <v>90</v>
      </c>
      <c r="B47" s="45">
        <v>136.0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)"),"10082683689")</f>
        <v>10082683689</v>
      </c>
      <c r="D47" s="44" t="str">
        <f>IFERROR(__xludf.DUMMYFUNCTION("""COMPUTED_VALUE"""),"MOKRÝ")</f>
        <v>MOKRÝ</v>
      </c>
      <c r="E47" s="44" t="str">
        <f>IFERROR(__xludf.DUMMYFUNCTION("""COMPUTED_VALUE"""),"Matyáš")</f>
        <v>Matyáš</v>
      </c>
      <c r="F47" s="44" t="str">
        <f>IFERROR(__xludf.DUMMYFUNCTION("""COMPUTED_VALUE"""),"CZE")</f>
        <v>CZE</v>
      </c>
      <c r="G47" s="44" t="str">
        <f>IFERROR(__xludf.DUMMYFUNCTION("""COMPUTED_VALUE"""),"TJ FAVORIT BRNO")</f>
        <v>TJ FAVORIT BRNO</v>
      </c>
      <c r="H47" s="44" t="str">
        <f>IFERROR(__xludf.DUMMYFUNCTION("""COMPUTED_VALUE"""),"U23MEN")</f>
        <v>U23MEN</v>
      </c>
      <c r="I47" s="4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35" t="s">
        <v>90</v>
      </c>
      <c r="B48" s="45">
        <v>132.0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)"),"10079309305")</f>
        <v>10079309305</v>
      </c>
      <c r="D48" s="44" t="str">
        <f>IFERROR(__xludf.DUMMYFUNCTION("""COMPUTED_VALUE"""),"JAROŠ")</f>
        <v>JAROŠ</v>
      </c>
      <c r="E48" s="44" t="str">
        <f>IFERROR(__xludf.DUMMYFUNCTION("""COMPUTED_VALUE"""),"Nikola")</f>
        <v>Nikola</v>
      </c>
      <c r="F48" s="44" t="str">
        <f>IFERROR(__xludf.DUMMYFUNCTION("""COMPUTED_VALUE"""),"CZE")</f>
        <v>CZE</v>
      </c>
      <c r="G48" s="44" t="str">
        <f>IFERROR(__xludf.DUMMYFUNCTION("""COMPUTED_VALUE"""),"TJ FAVORIT BRNO")</f>
        <v>TJ FAVORIT BRNO</v>
      </c>
      <c r="H48" s="44" t="str">
        <f>IFERROR(__xludf.DUMMYFUNCTION("""COMPUTED_VALUE"""),"U23MEN")</f>
        <v>U23MEN</v>
      </c>
      <c r="I48" s="4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35" t="s">
        <v>90</v>
      </c>
      <c r="B49" s="45">
        <v>124.0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)"),"10047432677")</f>
        <v>10047432677</v>
      </c>
      <c r="D49" s="44" t="str">
        <f>IFERROR(__xludf.DUMMYFUNCTION("""COMPUTED_VALUE"""),"Černý")</f>
        <v>Černý</v>
      </c>
      <c r="E49" s="44" t="str">
        <f>IFERROR(__xludf.DUMMYFUNCTION("""COMPUTED_VALUE"""),"Bartoloměj")</f>
        <v>Bartoloměj</v>
      </c>
      <c r="F49" s="44" t="str">
        <f>IFERROR(__xludf.DUMMYFUNCTION("""COMPUTED_VALUE"""),"CZE")</f>
        <v>CZE</v>
      </c>
      <c r="G49" s="44" t="str">
        <f>IFERROR(__xludf.DUMMYFUNCTION("""COMPUTED_VALUE"""),"MERIDA BIKE RANCH TEAM")</f>
        <v>MERIDA BIKE RANCH TEAM</v>
      </c>
      <c r="H49" s="44" t="str">
        <f>IFERROR(__xludf.DUMMYFUNCTION("""COMPUTED_VALUE"""),"U23MEN")</f>
        <v>U23MEN</v>
      </c>
      <c r="I49" s="4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 t="s">
        <v>90</v>
      </c>
      <c r="B50" s="45">
        <v>117.0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)"),"10152262702")</f>
        <v>10152262702</v>
      </c>
      <c r="D50" s="44" t="str">
        <f>IFERROR(__xludf.DUMMYFUNCTION("""COMPUTED_VALUE"""),"Bence")</f>
        <v>Bence</v>
      </c>
      <c r="E50" s="44" t="str">
        <f>IFERROR(__xludf.DUMMYFUNCTION("""COMPUTED_VALUE"""),"Kovács")</f>
        <v>Kovács</v>
      </c>
      <c r="F50" s="44" t="str">
        <f>IFERROR(__xludf.DUMMYFUNCTION("""COMPUTED_VALUE"""),"HUN")</f>
        <v>HUN</v>
      </c>
      <c r="G50" s="44" t="str">
        <f>IFERROR(__xludf.DUMMYFUNCTION("""COMPUTED_VALUE"""),"Green Riders Cycling Team")</f>
        <v>Green Riders Cycling Team</v>
      </c>
      <c r="H50" s="44" t="str">
        <f>IFERROR(__xludf.DUMMYFUNCTION("""COMPUTED_VALUE"""),"U23MEN")</f>
        <v>U23MEN</v>
      </c>
      <c r="I50" s="4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35" t="s">
        <v>90</v>
      </c>
      <c r="B51" s="45">
        <v>115.0</v>
      </c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)"),"10144005978")</f>
        <v>10144005978</v>
      </c>
      <c r="D51" s="44" t="str">
        <f>IFERROR(__xludf.DUMMYFUNCTION("""COMPUTED_VALUE"""),"Máté")</f>
        <v>Máté</v>
      </c>
      <c r="E51" s="44" t="str">
        <f>IFERROR(__xludf.DUMMYFUNCTION("""COMPUTED_VALUE"""),"Nánássy")</f>
        <v>Nánássy</v>
      </c>
      <c r="F51" s="44" t="str">
        <f>IFERROR(__xludf.DUMMYFUNCTION("""COMPUTED_VALUE"""),"HUN")</f>
        <v>HUN</v>
      </c>
      <c r="G51" s="44" t="str">
        <f>IFERROR(__xludf.DUMMYFUNCTION("""COMPUTED_VALUE"""),"Green Riders Cycling Team")</f>
        <v>Green Riders Cycling Team</v>
      </c>
      <c r="H51" s="44" t="str">
        <f>IFERROR(__xludf.DUMMYFUNCTION("""COMPUTED_VALUE"""),"U23MEN")</f>
        <v>U23MEN</v>
      </c>
      <c r="I51" s="4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35" t="s">
        <v>90</v>
      </c>
      <c r="B52" s="45">
        <v>112.0</v>
      </c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)"),"10127364216")</f>
        <v>10127364216</v>
      </c>
      <c r="D52" s="44" t="str">
        <f>IFERROR(__xludf.DUMMYFUNCTION("""COMPUTED_VALUE"""),"Gergely")</f>
        <v>Gergely</v>
      </c>
      <c r="E52" s="44" t="str">
        <f>IFERROR(__xludf.DUMMYFUNCTION("""COMPUTED_VALUE"""),"Német")</f>
        <v>Német</v>
      </c>
      <c r="F52" s="44" t="str">
        <f>IFERROR(__xludf.DUMMYFUNCTION("""COMPUTED_VALUE"""),"HUN")</f>
        <v>HUN</v>
      </c>
      <c r="G52" s="44" t="str">
        <f>IFERROR(__xludf.DUMMYFUNCTION("""COMPUTED_VALUE"""),"Green Riders Cycling Team")</f>
        <v>Green Riders Cycling Team</v>
      </c>
      <c r="H52" s="44" t="str">
        <f>IFERROR(__xludf.DUMMYFUNCTION("""COMPUTED_VALUE"""),"U23MEN")</f>
        <v>U23MEN</v>
      </c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35" t="s">
        <v>90</v>
      </c>
      <c r="B53" s="45">
        <v>113.0</v>
      </c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)"),"10144518058")</f>
        <v>10144518058</v>
      </c>
      <c r="D53" s="44" t="str">
        <f>IFERROR(__xludf.DUMMYFUNCTION("""COMPUTED_VALUE"""),"Máté")</f>
        <v>Máté</v>
      </c>
      <c r="E53" s="44" t="str">
        <f>IFERROR(__xludf.DUMMYFUNCTION("""COMPUTED_VALUE"""),"Parrag")</f>
        <v>Parrag</v>
      </c>
      <c r="F53" s="44" t="str">
        <f>IFERROR(__xludf.DUMMYFUNCTION("""COMPUTED_VALUE"""),"HUN")</f>
        <v>HUN</v>
      </c>
      <c r="G53" s="44" t="str">
        <f>IFERROR(__xludf.DUMMYFUNCTION("""COMPUTED_VALUE"""),"Green Riders Cycling Team")</f>
        <v>Green Riders Cycling Team</v>
      </c>
      <c r="H53" s="44" t="str">
        <f>IFERROR(__xludf.DUMMYFUNCTION("""COMPUTED_VALUE"""),"U23MEN")</f>
        <v>U23MEN</v>
      </c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35" t="s">
        <v>90</v>
      </c>
      <c r="B54" s="45">
        <v>116.0</v>
      </c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)"),"10152536019")</f>
        <v>10152536019</v>
      </c>
      <c r="D54" s="44" t="str">
        <f>IFERROR(__xludf.DUMMYFUNCTION("""COMPUTED_VALUE"""),"Hunor Szilárd")</f>
        <v>Hunor Szilárd</v>
      </c>
      <c r="E54" s="44" t="str">
        <f>IFERROR(__xludf.DUMMYFUNCTION("""COMPUTED_VALUE"""),"Ambrus")</f>
        <v>Ambrus</v>
      </c>
      <c r="F54" s="44" t="str">
        <f>IFERROR(__xludf.DUMMYFUNCTION("""COMPUTED_VALUE"""),"HUN")</f>
        <v>HUN</v>
      </c>
      <c r="G54" s="44" t="str">
        <f>IFERROR(__xludf.DUMMYFUNCTION("""COMPUTED_VALUE"""),"Green Riders Cycling Team")</f>
        <v>Green Riders Cycling Team</v>
      </c>
      <c r="H54" s="44" t="str">
        <f>IFERROR(__xludf.DUMMYFUNCTION("""COMPUTED_VALUE"""),"U23MEN")</f>
        <v>U23MEN</v>
      </c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45" t="s">
        <v>37</v>
      </c>
      <c r="B55" s="45">
        <v>36.0</v>
      </c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)"),"10117285815")</f>
        <v>10117285815</v>
      </c>
      <c r="D55" s="44" t="str">
        <f>IFERROR(__xludf.DUMMYFUNCTION("""COMPUTED_VALUE"""),"KUBÍČEK")</f>
        <v>KUBÍČEK</v>
      </c>
      <c r="E55" s="44" t="str">
        <f>IFERROR(__xludf.DUMMYFUNCTION("""COMPUTED_VALUE"""),"Adam")</f>
        <v>Adam</v>
      </c>
      <c r="F55" s="44" t="str">
        <f>IFERROR(__xludf.DUMMYFUNCTION("""COMPUTED_VALUE"""),"CZE")</f>
        <v>CZE</v>
      </c>
      <c r="G55" s="44" t="str">
        <f>IFERROR(__xludf.DUMMYFUNCTION("""COMPUTED_VALUE"""),"TJ FAVORIT BRNO")</f>
        <v>TJ FAVORIT BRNO</v>
      </c>
      <c r="H55" s="44" t="str">
        <f>IFERROR(__xludf.DUMMYFUNCTION("""COMPUTED_VALUE"""),"U23MEN")</f>
        <v>U23MEN</v>
      </c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45" t="s">
        <v>37</v>
      </c>
      <c r="B56" s="45">
        <v>101.0</v>
      </c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)"),"10047382662")</f>
        <v>10047382662</v>
      </c>
      <c r="D56" s="44" t="str">
        <f>IFERROR(__xludf.DUMMYFUNCTION("""COMPUTED_VALUE"""),"Bradáč")</f>
        <v>Bradáč</v>
      </c>
      <c r="E56" s="44" t="str">
        <f>IFERROR(__xludf.DUMMYFUNCTION("""COMPUTED_VALUE"""),"Adam")</f>
        <v>Adam</v>
      </c>
      <c r="F56" s="44" t="str">
        <f>IFERROR(__xludf.DUMMYFUNCTION("""COMPUTED_VALUE"""),"CZE")</f>
        <v>CZE</v>
      </c>
      <c r="G56" s="44" t="str">
        <f>IFERROR(__xludf.DUMMYFUNCTION("""COMPUTED_VALUE"""),"FACTOR Racing")</f>
        <v>FACTOR Racing</v>
      </c>
      <c r="H56" s="44" t="str">
        <f>IFERROR(__xludf.DUMMYFUNCTION("""COMPUTED_VALUE"""),"U23MEN")</f>
        <v>U23MEN</v>
      </c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45" t="s">
        <v>37</v>
      </c>
      <c r="B57" s="45">
        <v>114.0</v>
      </c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)"),"10162449015")</f>
        <v>10162449015</v>
      </c>
      <c r="D57" s="44" t="str">
        <f>IFERROR(__xludf.DUMMYFUNCTION("""COMPUTED_VALUE"""),"Norbert")</f>
        <v>Norbert</v>
      </c>
      <c r="E57" s="44" t="str">
        <f>IFERROR(__xludf.DUMMYFUNCTION("""COMPUTED_VALUE"""),"Novinszki")</f>
        <v>Novinszki</v>
      </c>
      <c r="F57" s="44" t="str">
        <f>IFERROR(__xludf.DUMMYFUNCTION("""COMPUTED_VALUE"""),"HUN")</f>
        <v>HUN</v>
      </c>
      <c r="G57" s="44" t="str">
        <f>IFERROR(__xludf.DUMMYFUNCTION("""COMPUTED_VALUE"""),"Green Riders Cycling Team")</f>
        <v>Green Riders Cycling Team</v>
      </c>
      <c r="H57" s="44" t="str">
        <f>IFERROR(__xludf.DUMMYFUNCTION("""COMPUTED_VALUE"""),"U23MEN")</f>
        <v>U23MEN</v>
      </c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45" t="s">
        <v>37</v>
      </c>
      <c r="B58" s="45">
        <v>118.0</v>
      </c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 t="str">
        <f>IFERROR(__xludf.DUMMYFUNCTION("""COMPUTED_VALUE"""),"Jácint")</f>
        <v>Jácint</v>
      </c>
      <c r="E58" s="44" t="str">
        <f>IFERROR(__xludf.DUMMYFUNCTION("""COMPUTED_VALUE"""),"Cseke")</f>
        <v>Cseke</v>
      </c>
      <c r="F58" s="44" t="str">
        <f>IFERROR(__xludf.DUMMYFUNCTION("""COMPUTED_VALUE"""),"HUN")</f>
        <v>HUN</v>
      </c>
      <c r="G58" s="44" t="str">
        <f>IFERROR(__xludf.DUMMYFUNCTION("""COMPUTED_VALUE"""),"Green Riders Cycling Team")</f>
        <v>Green Riders Cycling Team</v>
      </c>
      <c r="H58" s="44" t="str">
        <f>IFERROR(__xludf.DUMMYFUNCTION("""COMPUTED_VALUE"""),"U23MEN")</f>
        <v>U23MEN</v>
      </c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45" t="s">
        <v>37</v>
      </c>
      <c r="B59" s="45">
        <v>142.0</v>
      </c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)"),"10113575462")</f>
        <v>10113575462</v>
      </c>
      <c r="D59" s="44" t="str">
        <f>IFERROR(__xludf.DUMMYFUNCTION("""COMPUTED_VALUE"""),"Seidl")</f>
        <v>Seidl</v>
      </c>
      <c r="E59" s="44" t="str">
        <f>IFERROR(__xludf.DUMMYFUNCTION("""COMPUTED_VALUE"""),"Vojtěch")</f>
        <v>Vojtěch</v>
      </c>
      <c r="F59" s="44" t="str">
        <f>IFERROR(__xludf.DUMMYFUNCTION("""COMPUTED_VALUE"""),"CZE")</f>
        <v>CZE</v>
      </c>
      <c r="G59" s="44" t="str">
        <f>IFERROR(__xludf.DUMMYFUNCTION("""COMPUTED_VALUE"""),"Fany Gastro Integray L30")</f>
        <v>Fany Gastro Integray L30</v>
      </c>
      <c r="H59" s="44" t="str">
        <f>IFERROR(__xludf.DUMMYFUNCTION("""COMPUTED_VALUE"""),"U23MEN")</f>
        <v>U23MEN</v>
      </c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45" t="s">
        <v>39</v>
      </c>
      <c r="B60" s="43"/>
      <c r="C60" s="41">
        <v>1.0142841372E10</v>
      </c>
      <c r="D60" s="49" t="s">
        <v>173</v>
      </c>
      <c r="E60" s="49" t="s">
        <v>174</v>
      </c>
      <c r="F60" s="49" t="s">
        <v>42</v>
      </c>
      <c r="G60" s="49" t="s">
        <v>175</v>
      </c>
      <c r="H60" s="49" t="s">
        <v>172</v>
      </c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46"/>
      <c r="B114" s="47"/>
      <c r="C114" s="47"/>
      <c r="D114" s="47"/>
      <c r="E114" s="47"/>
      <c r="F114" s="47"/>
      <c r="G114" s="47"/>
      <c r="H114" s="47"/>
      <c r="I114" s="47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8"/>
      <c r="B115" s="18"/>
      <c r="C115" s="18"/>
      <c r="D115" s="18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8"/>
      <c r="B116" s="18"/>
      <c r="C116" s="18"/>
      <c r="D116" s="18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8"/>
      <c r="B117" s="18"/>
      <c r="C117" s="18"/>
      <c r="D117" s="18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8" t="s">
        <v>63</v>
      </c>
      <c r="C118" s="18">
        <v>13.0</v>
      </c>
      <c r="D118" s="18" t="s">
        <v>64</v>
      </c>
      <c r="E118" s="14"/>
      <c r="F118" s="14"/>
      <c r="G118" s="18" t="s">
        <v>65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8" t="s">
        <v>66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 t="s">
        <v>67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</sheetData>
  <mergeCells count="10">
    <mergeCell ref="A12:B12"/>
    <mergeCell ref="A118:B118"/>
    <mergeCell ref="A120:B120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6.75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176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177</v>
      </c>
      <c r="C9" s="21"/>
      <c r="D9" s="23" t="s">
        <v>18</v>
      </c>
      <c r="E9" s="24">
        <v>80.0</v>
      </c>
      <c r="F9" s="21"/>
      <c r="G9" s="23" t="s">
        <v>21</v>
      </c>
      <c r="H9" s="25">
        <f>IF(OR(E9="",E10=""),"",(E9/(E10*24)))</f>
        <v>42.88905436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>
        <v>0.0777199074074074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40.0</v>
      </c>
      <c r="D12" s="18" t="s">
        <v>25</v>
      </c>
      <c r="E12" s="26">
        <v>36.0</v>
      </c>
      <c r="F12" s="28"/>
      <c r="G12" s="18" t="s">
        <v>26</v>
      </c>
      <c r="H12" s="26">
        <v>24.0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4.0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)"),"10022031411")</f>
        <v>10022031411</v>
      </c>
      <c r="D15" s="37" t="str">
        <f>IFERROR(__xludf.DUMMYFUNCTION("""COMPUTED_VALUE"""),"Rush")</f>
        <v>Rush</v>
      </c>
      <c r="E15" s="37" t="str">
        <f>IFERROR(__xludf.DUMMYFUNCTION("""COMPUTED_VALUE"""),"Christian")</f>
        <v>Christian</v>
      </c>
      <c r="F15" s="37" t="str">
        <f>IFERROR(__xludf.DUMMYFUNCTION("""COMPUTED_VALUE"""),"NZL")</f>
        <v>NZL</v>
      </c>
      <c r="G15" s="37" t="str">
        <f>IFERROR(__xludf.DUMMYFUNCTION("""COMPUTED_VALUE"""),"ARBÖ Kärnten Sport Feld am See")</f>
        <v>ARBÖ Kärnten Sport Feld am See</v>
      </c>
      <c r="H15" s="37" t="str">
        <f>IFERROR(__xludf.DUMMYFUNCTION("""COMPUTED_VALUE"""),"EL")</f>
        <v>EL</v>
      </c>
      <c r="I15" s="39">
        <v>0.0777199074074074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21.0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)"),"10055178028")</f>
        <v>10055178028</v>
      </c>
      <c r="D16" s="37" t="str">
        <f>IFERROR(__xludf.DUMMYFUNCTION("""COMPUTED_VALUE"""),"KENDZIA")</f>
        <v>KENDZIA</v>
      </c>
      <c r="E16" s="37" t="str">
        <f>IFERROR(__xludf.DUMMYFUNCTION("""COMPUTED_VALUE"""),"Robert")</f>
        <v>Robert</v>
      </c>
      <c r="F16" s="37" t="str">
        <f>IFERROR(__xludf.DUMMYFUNCTION("""COMPUTED_VALUE"""),"POL")</f>
        <v>POL</v>
      </c>
      <c r="G16" s="37" t="str">
        <f>IFERROR(__xludf.DUMMYFUNCTION("""COMPUTED_VALUE"""),"LUKS Trójka Piaseczno")</f>
        <v>LUKS Trójka Piaseczno</v>
      </c>
      <c r="H16" s="37" t="str">
        <f>IFERROR(__xludf.DUMMYFUNCTION("""COMPUTED_VALUE"""),"EL")</f>
        <v>EL</v>
      </c>
      <c r="I16" s="39">
        <v>0.07951388888888888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2.0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)"),"10007168886")</f>
        <v>10007168886</v>
      </c>
      <c r="D17" s="37" t="str">
        <f>IFERROR(__xludf.DUMMYFUNCTION("""COMPUTED_VALUE"""),"Jennewein")</f>
        <v>Jennewein</v>
      </c>
      <c r="E17" s="37" t="str">
        <f>IFERROR(__xludf.DUMMYFUNCTION("""COMPUTED_VALUE"""),"Sandro")</f>
        <v>Sandro</v>
      </c>
      <c r="F17" s="37" t="str">
        <f>IFERROR(__xludf.DUMMYFUNCTION("""COMPUTED_VALUE"""),"AUT")</f>
        <v>AUT</v>
      </c>
      <c r="G17" s="37" t="str">
        <f>IFERROR(__xludf.DUMMYFUNCTION("""COMPUTED_VALUE"""),"ARBÖ Kärnten Sport Feld am See")</f>
        <v>ARBÖ Kärnten Sport Feld am See</v>
      </c>
      <c r="H17" s="37" t="str">
        <f>IFERROR(__xludf.DUMMYFUNCTION("""COMPUTED_VALUE"""),"EL")</f>
        <v>EL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26.0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)"),"10096741417")</f>
        <v>10096741417</v>
      </c>
      <c r="D18" s="37" t="str">
        <f>IFERROR(__xludf.DUMMYFUNCTION("""COMPUTED_VALUE"""),"Gross")</f>
        <v>Gross</v>
      </c>
      <c r="E18" s="37" t="str">
        <f>IFERROR(__xludf.DUMMYFUNCTION("""COMPUTED_VALUE"""),"Adam")</f>
        <v>Adam</v>
      </c>
      <c r="F18" s="37" t="str">
        <f>IFERROR(__xludf.DUMMYFUNCTION("""COMPUTED_VALUE"""),"SVK")</f>
        <v>SVK</v>
      </c>
      <c r="G18" s="37" t="str">
        <f>IFERROR(__xludf.DUMMYFUNCTION("""COMPUTED_VALUE"""),"PROefekt Across")</f>
        <v>PROefekt Across</v>
      </c>
      <c r="H18" s="37" t="str">
        <f>IFERROR(__xludf.DUMMYFUNCTION("""COMPUTED_VALUE"""),"EL")</f>
        <v>EL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31.0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)"),"10015875547")</f>
        <v>10015875547</v>
      </c>
      <c r="D19" s="37" t="str">
        <f>IFERROR(__xludf.DUMMYFUNCTION("""COMPUTED_VALUE"""),"Hejtmánek")</f>
        <v>Hejtmánek</v>
      </c>
      <c r="E19" s="41" t="str">
        <f>IFERROR(__xludf.DUMMYFUNCTION("""COMPUTED_VALUE"""),"Marek")</f>
        <v>Marek</v>
      </c>
      <c r="F19" s="37" t="str">
        <f>IFERROR(__xludf.DUMMYFUNCTION("""COMPUTED_VALUE"""),"CZE")</f>
        <v>CZE</v>
      </c>
      <c r="G19" s="37" t="str">
        <f>IFERROR(__xludf.DUMMYFUNCTION("""COMPUTED_VALUE"""),"Team Forman Energetic")</f>
        <v>Team Forman Energetic</v>
      </c>
      <c r="H19" s="37" t="str">
        <f>IFERROR(__xludf.DUMMYFUNCTION("""COMPUTED_VALUE"""),"EL")</f>
        <v>EL</v>
      </c>
      <c r="I19" s="39">
        <v>0.0802662037037037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41.0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)"),"10002885631")</f>
        <v>10002885631</v>
      </c>
      <c r="D20" s="37" t="str">
        <f>IFERROR(__xludf.DUMMYFUNCTION("""COMPUTED_VALUE"""),"Kollert")</f>
        <v>Kollert</v>
      </c>
      <c r="E20" s="37" t="str">
        <f>IFERROR(__xludf.DUMMYFUNCTION("""COMPUTED_VALUE"""),"Michal")</f>
        <v>Michal</v>
      </c>
      <c r="F20" s="37" t="str">
        <f>IFERROR(__xludf.DUMMYFUNCTION("""COMPUTED_VALUE"""),"CZE")</f>
        <v>CZE</v>
      </c>
      <c r="G20" s="37" t="str">
        <f>IFERROR(__xludf.DUMMYFUNCTION("""COMPUTED_VALUE"""),"Fany Gastro Integray L27")</f>
        <v>Fany Gastro Integray L27</v>
      </c>
      <c r="H20" s="37" t="str">
        <f>IFERROR(__xludf.DUMMYFUNCTION("""COMPUTED_VALUE"""),"EL")</f>
        <v>EL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3.0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)"),"10128350885")</f>
        <v>10128350885</v>
      </c>
      <c r="D21" s="37" t="str">
        <f>IFERROR(__xludf.DUMMYFUNCTION("""COMPUTED_VALUE"""),"Jeindl")</f>
        <v>Jeindl</v>
      </c>
      <c r="E21" s="37" t="str">
        <f>IFERROR(__xludf.DUMMYFUNCTION("""COMPUTED_VALUE"""),"Matthias")</f>
        <v>Matthias</v>
      </c>
      <c r="F21" s="37" t="str">
        <f>IFERROR(__xludf.DUMMYFUNCTION("""COMPUTED_VALUE"""),"AUT")</f>
        <v>AUT</v>
      </c>
      <c r="G21" s="37" t="str">
        <f>IFERROR(__xludf.DUMMYFUNCTION("""COMPUTED_VALUE"""),"ARBÖ Kärnten Sport Feld am See")</f>
        <v>ARBÖ Kärnten Sport Feld am See</v>
      </c>
      <c r="H21" s="37" t="str">
        <f>IFERROR(__xludf.DUMMYFUNCTION("""COMPUTED_VALUE"""),"EL")</f>
        <v>EL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11.0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)"),"10056326567")</f>
        <v>10056326567</v>
      </c>
      <c r="D22" s="37" t="str">
        <f>IFERROR(__xludf.DUMMYFUNCTION("""COMPUTED_VALUE"""),"OBITKO")</f>
        <v>OBITKO</v>
      </c>
      <c r="E22" s="37" t="str">
        <f>IFERROR(__xludf.DUMMYFUNCTION("""COMPUTED_VALUE"""),"JAKUB")</f>
        <v>JAKUB</v>
      </c>
      <c r="F22" s="37" t="str">
        <f>IFERROR(__xludf.DUMMYFUNCTION("""COMPUTED_VALUE"""),"POL")</f>
        <v>POL</v>
      </c>
      <c r="G22" s="37" t="str">
        <f>IFERROR(__xludf.DUMMYFUNCTION("""COMPUTED_VALUE"""),"DAR-BUD TEAM")</f>
        <v>DAR-BUD TEAM</v>
      </c>
      <c r="H22" s="37" t="str">
        <f>IFERROR(__xludf.DUMMYFUNCTION("""COMPUTED_VALUE"""),"EL")</f>
        <v>EL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1.0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)"),"10162524793")</f>
        <v>10162524793</v>
      </c>
      <c r="D23" s="37" t="str">
        <f>IFERROR(__xludf.DUMMYFUNCTION("""COMPUTED_VALUE"""),"Kukla")</f>
        <v>Kukla</v>
      </c>
      <c r="E23" s="37" t="str">
        <f>IFERROR(__xludf.DUMMYFUNCTION("""COMPUTED_VALUE"""),"Ondřej")</f>
        <v>Ondřej</v>
      </c>
      <c r="F23" s="37" t="str">
        <f>IFERROR(__xludf.DUMMYFUNCTION("""COMPUTED_VALUE"""),"CZE")</f>
        <v>CZE</v>
      </c>
      <c r="G23" s="37" t="str">
        <f>IFERROR(__xludf.DUMMYFUNCTION("""COMPUTED_VALUE"""),"ACK Stará Ves nad Ondřejnicí")</f>
        <v>ACK Stará Ves nad Ondřejnicí</v>
      </c>
      <c r="H23" s="37" t="str">
        <f>IFERROR(__xludf.DUMMYFUNCTION("""COMPUTED_VALUE"""),"EL")</f>
        <v>EL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42.0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)"),"10128342401")</f>
        <v>10128342401</v>
      </c>
      <c r="D24" s="37" t="str">
        <f>IFERROR(__xludf.DUMMYFUNCTION("""COMPUTED_VALUE"""),"Garboliński")</f>
        <v>Garboliński</v>
      </c>
      <c r="E24" s="37" t="str">
        <f>IFERROR(__xludf.DUMMYFUNCTION("""COMPUTED_VALUE"""),"Klaudiusz")</f>
        <v>Klaudiusz</v>
      </c>
      <c r="F24" s="37" t="str">
        <f>IFERROR(__xludf.DUMMYFUNCTION("""COMPUTED_VALUE"""),"POL")</f>
        <v>POL</v>
      </c>
      <c r="G24" s="37" t="str">
        <f>IFERROR(__xludf.DUMMYFUNCTION("""COMPUTED_VALUE"""),"LUKS Trójka Piaseczno")</f>
        <v>LUKS Trójka Piaseczno</v>
      </c>
      <c r="H24" s="37" t="str">
        <f>IFERROR(__xludf.DUMMYFUNCTION("""COMPUTED_VALUE"""),"EL")</f>
        <v>EL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25.0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)"),"10046103575")</f>
        <v>10046103575</v>
      </c>
      <c r="D25" s="37" t="str">
        <f>IFERROR(__xludf.DUMMYFUNCTION("""COMPUTED_VALUE"""),"Čontofalský")</f>
        <v>Čontofalský</v>
      </c>
      <c r="E25" s="37" t="str">
        <f>IFERROR(__xludf.DUMMYFUNCTION("""COMPUTED_VALUE"""),"Marek")</f>
        <v>Marek</v>
      </c>
      <c r="F25" s="37" t="str">
        <f>IFERROR(__xludf.DUMMYFUNCTION("""COMPUTED_VALUE"""),"SVK")</f>
        <v>SVK</v>
      </c>
      <c r="G25" s="37" t="str">
        <f>IFERROR(__xludf.DUMMYFUNCTION("""COMPUTED_VALUE"""),"PROefekt Across")</f>
        <v>PROefekt Across</v>
      </c>
      <c r="H25" s="37" t="str">
        <f>IFERROR(__xludf.DUMMYFUNCTION("""COMPUTED_VALUE"""),"EL")</f>
        <v>EL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32.0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)"),"10047428031")</f>
        <v>10047428031</v>
      </c>
      <c r="D26" s="37" t="str">
        <f>IFERROR(__xludf.DUMMYFUNCTION("""COMPUTED_VALUE"""),"Mach")</f>
        <v>Mach</v>
      </c>
      <c r="E26" s="37" t="str">
        <f>IFERROR(__xludf.DUMMYFUNCTION("""COMPUTED_VALUE"""),"Ondřej")</f>
        <v>Ondřej</v>
      </c>
      <c r="F26" s="37" t="str">
        <f>IFERROR(__xludf.DUMMYFUNCTION("""COMPUTED_VALUE"""),"CZE")</f>
        <v>CZE</v>
      </c>
      <c r="G26" s="37" t="str">
        <f>IFERROR(__xludf.DUMMYFUNCTION("""COMPUTED_VALUE"""),"Team Forman Energetic")</f>
        <v>Team Forman Energetic</v>
      </c>
      <c r="H26" s="37" t="str">
        <f>IFERROR(__xludf.DUMMYFUNCTION("""COMPUTED_VALUE"""),"EL")</f>
        <v>EL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14.0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)"),"10058774203")</f>
        <v>10058774203</v>
      </c>
      <c r="D27" s="37" t="str">
        <f>IFERROR(__xludf.DUMMYFUNCTION("""COMPUTED_VALUE"""),"Chojnacki")</f>
        <v>Chojnacki</v>
      </c>
      <c r="E27" s="37" t="str">
        <f>IFERROR(__xludf.DUMMYFUNCTION("""COMPUTED_VALUE"""),"Kacper")</f>
        <v>Kacper</v>
      </c>
      <c r="F27" s="37" t="str">
        <f>IFERROR(__xludf.DUMMYFUNCTION("""COMPUTED_VALUE"""),"POL")</f>
        <v>POL</v>
      </c>
      <c r="G27" s="37" t="str">
        <f>IFERROR(__xludf.DUMMYFUNCTION("""COMPUTED_VALUE"""),"DK Gwarki")</f>
        <v>DK Gwarki</v>
      </c>
      <c r="H27" s="37" t="str">
        <f>IFERROR(__xludf.DUMMYFUNCTION("""COMPUTED_VALUE"""),"EL")</f>
        <v>EL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20.0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)"),"10009424744")</f>
        <v>10009424744</v>
      </c>
      <c r="D28" s="37" t="str">
        <f>IFERROR(__xludf.DUMMYFUNCTION("""COMPUTED_VALUE"""),"Slavek")</f>
        <v>Slavek</v>
      </c>
      <c r="E28" s="37" t="str">
        <f>IFERROR(__xludf.DUMMYFUNCTION("""COMPUTED_VALUE"""),"Damian")</f>
        <v>Damian</v>
      </c>
      <c r="F28" s="37" t="str">
        <f>IFERROR(__xludf.DUMMYFUNCTION("""COMPUTED_VALUE"""),"POL")</f>
        <v>POL</v>
      </c>
      <c r="G28" s="37" t="str">
        <f>IFERROR(__xludf.DUMMYFUNCTION("""COMPUTED_VALUE"""),"Klub Kolarski Tarnovia")</f>
        <v>Klub Kolarski Tarnovia</v>
      </c>
      <c r="H28" s="37" t="str">
        <f>IFERROR(__xludf.DUMMYFUNCTION("""COMPUTED_VALUE"""),"EL")</f>
        <v>EL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5">
        <v>15.0</v>
      </c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)"),"10128811031")</f>
        <v>10128811031</v>
      </c>
      <c r="D29" s="37" t="str">
        <f>IFERROR(__xludf.DUMMYFUNCTION("""COMPUTED_VALUE"""),"Túri")</f>
        <v>Túri</v>
      </c>
      <c r="E29" s="37" t="str">
        <f>IFERROR(__xludf.DUMMYFUNCTION("""COMPUTED_VALUE"""),"Dániel Csaba")</f>
        <v>Dániel Csaba</v>
      </c>
      <c r="F29" s="37" t="str">
        <f>IFERROR(__xludf.DUMMYFUNCTION("""COMPUTED_VALUE"""),"HUN")</f>
        <v>HUN</v>
      </c>
      <c r="G29" s="37" t="str">
        <f>IFERROR(__xludf.DUMMYFUNCTION("""COMPUTED_VALUE"""),"Green Riders Cycling Team")</f>
        <v>Green Riders Cycling Team</v>
      </c>
      <c r="H29" s="37" t="str">
        <f>IFERROR(__xludf.DUMMYFUNCTION("""COMPUTED_VALUE"""),"EL")</f>
        <v>EL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40.0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)"),"10054537525")</f>
        <v>10054537525</v>
      </c>
      <c r="D30" s="37" t="str">
        <f>IFERROR(__xludf.DUMMYFUNCTION("""COMPUTED_VALUE"""),"Fijak")</f>
        <v>Fijak</v>
      </c>
      <c r="E30" s="37" t="str">
        <f>IFERROR(__xludf.DUMMYFUNCTION("""COMPUTED_VALUE"""),"Jan")</f>
        <v>Jan</v>
      </c>
      <c r="F30" s="37" t="str">
        <f>IFERROR(__xludf.DUMMYFUNCTION("""COMPUTED_VALUE"""),"POL")</f>
        <v>POL</v>
      </c>
      <c r="G30" s="37" t="str">
        <f>IFERROR(__xludf.DUMMYFUNCTION("""COMPUTED_VALUE"""),"LUKS Trójka Piaseczno")</f>
        <v>LUKS Trójka Piaseczno</v>
      </c>
      <c r="H30" s="37" t="str">
        <f>IFERROR(__xludf.DUMMYFUNCTION("""COMPUTED_VALUE"""),"EL")</f>
        <v>EL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8.0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)"),"10013845520")</f>
        <v>10013845520</v>
      </c>
      <c r="D31" s="37" t="str">
        <f>IFERROR(__xludf.DUMMYFUNCTION("""COMPUTED_VALUE"""),"NAJS")</f>
        <v>NAJS</v>
      </c>
      <c r="E31" s="37" t="str">
        <f>IFERROR(__xludf.DUMMYFUNCTION("""COMPUTED_VALUE"""),"JAKUB")</f>
        <v>JAKUB</v>
      </c>
      <c r="F31" s="37" t="str">
        <f>IFERROR(__xludf.DUMMYFUNCTION("""COMPUTED_VALUE"""),"POL")</f>
        <v>POL</v>
      </c>
      <c r="G31" s="37" t="str">
        <f>IFERROR(__xludf.DUMMYFUNCTION("""COMPUTED_VALUE"""),"DAR-BUD TEAM")</f>
        <v>DAR-BUD TEAM</v>
      </c>
      <c r="H31" s="37" t="str">
        <f>IFERROR(__xludf.DUMMYFUNCTION("""COMPUTED_VALUE"""),"EL")</f>
        <v>EL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17.0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)"),"10011151950")</f>
        <v>10011151950</v>
      </c>
      <c r="D32" s="37" t="str">
        <f>IFERROR(__xludf.DUMMYFUNCTION("""COMPUTED_VALUE"""),"Gergely")</f>
        <v>Gergely</v>
      </c>
      <c r="E32" s="37" t="str">
        <f>IFERROR(__xludf.DUMMYFUNCTION("""COMPUTED_VALUE"""),"Szarka")</f>
        <v>Szarka</v>
      </c>
      <c r="F32" s="37" t="str">
        <f>IFERROR(__xludf.DUMMYFUNCTION("""COMPUTED_VALUE"""),"HUN")</f>
        <v>HUN</v>
      </c>
      <c r="G32" s="37" t="str">
        <f>IFERROR(__xludf.DUMMYFUNCTION("""COMPUTED_VALUE"""),"Green Riders Cycling Team")</f>
        <v>Green Riders Cycling Team</v>
      </c>
      <c r="H32" s="37" t="str">
        <f>IFERROR(__xludf.DUMMYFUNCTION("""COMPUTED_VALUE"""),"EL")</f>
        <v>EL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38.0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)"),"10159034312")</f>
        <v>10159034312</v>
      </c>
      <c r="D33" s="37" t="str">
        <f>IFERROR(__xludf.DUMMYFUNCTION("""COMPUTED_VALUE"""),"Helcl")</f>
        <v>Helcl</v>
      </c>
      <c r="E33" s="37" t="str">
        <f>IFERROR(__xludf.DUMMYFUNCTION("""COMPUTED_VALUE"""),"Filip")</f>
        <v>Filip</v>
      </c>
      <c r="F33" s="37" t="str">
        <f>IFERROR(__xludf.DUMMYFUNCTION("""COMPUTED_VALUE"""),"CZE")</f>
        <v>CZE</v>
      </c>
      <c r="G33" s="37" t="str">
        <f>IFERROR(__xludf.DUMMYFUNCTION("""COMPUTED_VALUE"""),"UNLIMITED KM TRADING CZ")</f>
        <v>UNLIMITED KM TRADING CZ</v>
      </c>
      <c r="H33" s="37" t="str">
        <f>IFERROR(__xludf.DUMMYFUNCTION("""COMPUTED_VALUE"""),"EL")</f>
        <v>EL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27.0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)"),"10093945288")</f>
        <v>10093945288</v>
      </c>
      <c r="D34" s="37" t="str">
        <f>IFERROR(__xludf.DUMMYFUNCTION("""COMPUTED_VALUE"""),"Grauzel")</f>
        <v>Grauzel</v>
      </c>
      <c r="E34" s="37" t="str">
        <f>IFERROR(__xludf.DUMMYFUNCTION("""COMPUTED_VALUE"""),"Martin")</f>
        <v>Martin</v>
      </c>
      <c r="F34" s="37" t="str">
        <f>IFERROR(__xludf.DUMMYFUNCTION("""COMPUTED_VALUE"""),"SVK")</f>
        <v>SVK</v>
      </c>
      <c r="G34" s="37" t="str">
        <f>IFERROR(__xludf.DUMMYFUNCTION("""COMPUTED_VALUE"""),"PROefekt Across")</f>
        <v>PROefekt Across</v>
      </c>
      <c r="H34" s="37" t="str">
        <f>IFERROR(__xludf.DUMMYFUNCTION("""COMPUTED_VALUE"""),"EL")</f>
        <v>EL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5">
        <v>21.0</v>
      </c>
      <c r="B35" s="35">
        <v>9.0</v>
      </c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)"),"1000002244")</f>
        <v>1000002244</v>
      </c>
      <c r="D35" s="37" t="str">
        <f>IFERROR(__xludf.DUMMYFUNCTION("""COMPUTED_VALUE"""),"KLIMEK")</f>
        <v>KLIMEK</v>
      </c>
      <c r="E35" s="37" t="str">
        <f>IFERROR(__xludf.DUMMYFUNCTION("""COMPUTED_VALUE"""),"WOJCIECH")</f>
        <v>WOJCIECH</v>
      </c>
      <c r="F35" s="37" t="str">
        <f>IFERROR(__xludf.DUMMYFUNCTION("""COMPUTED_VALUE"""),"POL")</f>
        <v>POL</v>
      </c>
      <c r="G35" s="37" t="str">
        <f>IFERROR(__xludf.DUMMYFUNCTION("""COMPUTED_VALUE"""),"DAR-BUD TEAM")</f>
        <v>DAR-BUD TEAM</v>
      </c>
      <c r="H35" s="37" t="str">
        <f>IFERROR(__xludf.DUMMYFUNCTION("""COMPUTED_VALUE"""),"EL")</f>
        <v>EL</v>
      </c>
      <c r="I35" s="39">
        <v>0.08284722222222222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35">
        <v>22.0</v>
      </c>
      <c r="B36" s="35">
        <v>33.0</v>
      </c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)"),"10047252017")</f>
        <v>10047252017</v>
      </c>
      <c r="D36" s="37" t="str">
        <f>IFERROR(__xludf.DUMMYFUNCTION("""COMPUTED_VALUE"""),"Hudeček")</f>
        <v>Hudeček</v>
      </c>
      <c r="E36" s="37" t="str">
        <f>IFERROR(__xludf.DUMMYFUNCTION("""COMPUTED_VALUE"""),"Dalibor")</f>
        <v>Dalibor</v>
      </c>
      <c r="F36" s="37" t="str">
        <f>IFERROR(__xludf.DUMMYFUNCTION("""COMPUTED_VALUE"""),"CZE")</f>
        <v>CZE</v>
      </c>
      <c r="G36" s="37" t="str">
        <f>IFERROR(__xludf.DUMMYFUNCTION("""COMPUTED_VALUE"""),"Team Forman Energetic")</f>
        <v>Team Forman Energetic</v>
      </c>
      <c r="H36" s="37" t="str">
        <f>IFERROR(__xludf.DUMMYFUNCTION("""COMPUTED_VALUE"""),"EL")</f>
        <v>EL</v>
      </c>
      <c r="I36" s="39">
        <v>0.08305555555555555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35">
        <v>23.0</v>
      </c>
      <c r="B37" s="35">
        <v>28.0</v>
      </c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)"),"10140347866")</f>
        <v>10140347866</v>
      </c>
      <c r="D37" s="37" t="str">
        <f>IFERROR(__xludf.DUMMYFUNCTION("""COMPUTED_VALUE"""),"Gajdošík")</f>
        <v>Gajdošík</v>
      </c>
      <c r="E37" s="37" t="str">
        <f>IFERROR(__xludf.DUMMYFUNCTION("""COMPUTED_VALUE"""),"Adam")</f>
        <v>Adam</v>
      </c>
      <c r="F37" s="37" t="str">
        <f>IFERROR(__xludf.DUMMYFUNCTION("""COMPUTED_VALUE"""),"SVK")</f>
        <v>SVK</v>
      </c>
      <c r="G37" s="37" t="str">
        <f>IFERROR(__xludf.DUMMYFUNCTION("""COMPUTED_VALUE"""),"PROefekt Across")</f>
        <v>PROefekt Across</v>
      </c>
      <c r="H37" s="37" t="str">
        <f>IFERROR(__xludf.DUMMYFUNCTION("""COMPUTED_VALUE"""),"EL")</f>
        <v>EL</v>
      </c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35">
        <v>24.0</v>
      </c>
      <c r="B38" s="35">
        <v>13.0</v>
      </c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)"),"10051885684")</f>
        <v>10051885684</v>
      </c>
      <c r="D38" s="37" t="str">
        <f>IFERROR(__xludf.DUMMYFUNCTION("""COMPUTED_VALUE"""),"WYSZYŃSKI")</f>
        <v>WYSZYŃSKI</v>
      </c>
      <c r="E38" s="37" t="str">
        <f>IFERROR(__xludf.DUMMYFUNCTION("""COMPUTED_VALUE"""),"ALEKSANDER")</f>
        <v>ALEKSANDER</v>
      </c>
      <c r="F38" s="37" t="str">
        <f>IFERROR(__xludf.DUMMYFUNCTION("""COMPUTED_VALUE"""),"POL")</f>
        <v>POL</v>
      </c>
      <c r="G38" s="37" t="str">
        <f>IFERROR(__xludf.DUMMYFUNCTION("""COMPUTED_VALUE"""),"DAR-BUD TEAM")</f>
        <v>DAR-BUD TEAM</v>
      </c>
      <c r="H38" s="37" t="str">
        <f>IFERROR(__xludf.DUMMYFUNCTION("""COMPUTED_VALUE"""),"EL")</f>
        <v>EL</v>
      </c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35" t="s">
        <v>90</v>
      </c>
      <c r="B39" s="35">
        <v>24.0</v>
      </c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)"),"10014511382")</f>
        <v>10014511382</v>
      </c>
      <c r="D39" s="37" t="str">
        <f>IFERROR(__xludf.DUMMYFUNCTION("""COMPUTED_VALUE"""),"Nagy")</f>
        <v>Nagy</v>
      </c>
      <c r="E39" s="37" t="str">
        <f>IFERROR(__xludf.DUMMYFUNCTION("""COMPUTED_VALUE"""),"Tomáš")</f>
        <v>Tomáš</v>
      </c>
      <c r="F39" s="37" t="str">
        <f>IFERROR(__xludf.DUMMYFUNCTION("""COMPUTED_VALUE"""),"SVK")</f>
        <v>SVK</v>
      </c>
      <c r="G39" s="37" t="str">
        <f>IFERROR(__xludf.DUMMYFUNCTION("""COMPUTED_VALUE"""),"Optika Oros Cycling Team")</f>
        <v>Optika Oros Cycling Team</v>
      </c>
      <c r="H39" s="37" t="str">
        <f>IFERROR(__xludf.DUMMYFUNCTION("""COMPUTED_VALUE"""),"EL")</f>
        <v>EL</v>
      </c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35" t="s">
        <v>90</v>
      </c>
      <c r="B40" s="35">
        <v>19.0</v>
      </c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)"),"10016081368")</f>
        <v>10016081368</v>
      </c>
      <c r="D40" s="37" t="str">
        <f>IFERROR(__xludf.DUMMYFUNCTION("""COMPUTED_VALUE"""),"Püspöki")</f>
        <v>Püspöki</v>
      </c>
      <c r="E40" s="37" t="str">
        <f>IFERROR(__xludf.DUMMYFUNCTION("""COMPUTED_VALUE"""),"Dániel")</f>
        <v>Dániel</v>
      </c>
      <c r="F40" s="37" t="str">
        <f>IFERROR(__xludf.DUMMYFUNCTION("""COMPUTED_VALUE"""),"HUN")</f>
        <v>HUN</v>
      </c>
      <c r="G40" s="37" t="str">
        <f>IFERROR(__xludf.DUMMYFUNCTION("""COMPUTED_VALUE"""),"Green Riders Cycling Team")</f>
        <v>Green Riders Cycling Team</v>
      </c>
      <c r="H40" s="37" t="str">
        <f>IFERROR(__xludf.DUMMYFUNCTION("""COMPUTED_VALUE"""),"EL")</f>
        <v>EL</v>
      </c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35" t="s">
        <v>90</v>
      </c>
      <c r="B41" s="35">
        <v>23.0</v>
      </c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)"),"10154013651")</f>
        <v>10154013651</v>
      </c>
      <c r="D41" s="37" t="str">
        <f>IFERROR(__xludf.DUMMYFUNCTION("""COMPUTED_VALUE"""),"Oros")</f>
        <v>Oros</v>
      </c>
      <c r="E41" s="37" t="str">
        <f>IFERROR(__xludf.DUMMYFUNCTION("""COMPUTED_VALUE"""),"Attila")</f>
        <v>Attila</v>
      </c>
      <c r="F41" s="37" t="str">
        <f>IFERROR(__xludf.DUMMYFUNCTION("""COMPUTED_VALUE"""),"SVK")</f>
        <v>SVK</v>
      </c>
      <c r="G41" s="37" t="str">
        <f>IFERROR(__xludf.DUMMYFUNCTION("""COMPUTED_VALUE"""),"Optika Oros Cycling Team")</f>
        <v>Optika Oros Cycling Team</v>
      </c>
      <c r="H41" s="37" t="str">
        <f>IFERROR(__xludf.DUMMYFUNCTION("""COMPUTED_VALUE"""),"EL")</f>
        <v>EL</v>
      </c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35" t="s">
        <v>90</v>
      </c>
      <c r="B42" s="35">
        <v>6.0</v>
      </c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 t="str">
        <f>IFERROR(__xludf.DUMMYFUNCTION("""COMPUTED_VALUE"""),"Pačes")</f>
        <v>Pačes</v>
      </c>
      <c r="E42" s="37" t="str">
        <f>IFERROR(__xludf.DUMMYFUNCTION("""COMPUTED_VALUE"""),"Viktor")</f>
        <v>Viktor</v>
      </c>
      <c r="F42" s="37" t="str">
        <f>IFERROR(__xludf.DUMMYFUNCTION("""COMPUTED_VALUE"""),"SVK")</f>
        <v>SVK</v>
      </c>
      <c r="G42" s="37" t="str">
        <f>IFERROR(__xludf.DUMMYFUNCTION("""COMPUTED_VALUE"""),"CK Olympik Trnava")</f>
        <v>CK Olympik Trnava</v>
      </c>
      <c r="H42" s="37" t="str">
        <f>IFERROR(__xludf.DUMMYFUNCTION("""COMPUTED_VALUE"""),"EL")</f>
        <v>EL</v>
      </c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35" t="s">
        <v>90</v>
      </c>
      <c r="B43" s="35">
        <v>16.0</v>
      </c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)"),"10140620779")</f>
        <v>10140620779</v>
      </c>
      <c r="D43" s="37" t="str">
        <f>IFERROR(__xludf.DUMMYFUNCTION("""COMPUTED_VALUE"""),"Bence")</f>
        <v>Bence</v>
      </c>
      <c r="E43" s="37" t="str">
        <f>IFERROR(__xludf.DUMMYFUNCTION("""COMPUTED_VALUE"""),"Csúri")</f>
        <v>Csúri</v>
      </c>
      <c r="F43" s="37" t="str">
        <f>IFERROR(__xludf.DUMMYFUNCTION("""COMPUTED_VALUE"""),"HUN")</f>
        <v>HUN</v>
      </c>
      <c r="G43" s="37" t="str">
        <f>IFERROR(__xludf.DUMMYFUNCTION("""COMPUTED_VALUE"""),"Green Riders Cycling Team")</f>
        <v>Green Riders Cycling Team</v>
      </c>
      <c r="H43" s="37" t="str">
        <f>IFERROR(__xludf.DUMMYFUNCTION("""COMPUTED_VALUE"""),"EL")</f>
        <v>EL</v>
      </c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35" t="s">
        <v>90</v>
      </c>
      <c r="B44" s="35">
        <v>43.0</v>
      </c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)"),"10048001139")</f>
        <v>10048001139</v>
      </c>
      <c r="D44" s="37" t="str">
        <f>IFERROR(__xludf.DUMMYFUNCTION("""COMPUTED_VALUE"""),"VÁVRA")</f>
        <v>VÁVRA</v>
      </c>
      <c r="E44" s="37" t="str">
        <f>IFERROR(__xludf.DUMMYFUNCTION("""COMPUTED_VALUE"""),"Petr")</f>
        <v>Petr</v>
      </c>
      <c r="F44" s="37" t="str">
        <f>IFERROR(__xludf.DUMMYFUNCTION("""COMPUTED_VALUE"""),"CZE")</f>
        <v>CZE</v>
      </c>
      <c r="G44" s="37" t="str">
        <f>IFERROR(__xludf.DUMMYFUNCTION("""COMPUTED_VALUE"""),"AC SPARTA PRAHA")</f>
        <v>AC SPARTA PRAHA</v>
      </c>
      <c r="H44" s="37" t="str">
        <f>IFERROR(__xludf.DUMMYFUNCTION("""COMPUTED_VALUE"""),"EL")</f>
        <v>EL</v>
      </c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35" t="s">
        <v>90</v>
      </c>
      <c r="B45" s="35">
        <v>22.0</v>
      </c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)"),"10093326411")</f>
        <v>10093326411</v>
      </c>
      <c r="D45" s="37" t="str">
        <f>IFERROR(__xludf.DUMMYFUNCTION("""COMPUTED_VALUE"""),"Szigl")</f>
        <v>Szigl</v>
      </c>
      <c r="E45" s="37" t="str">
        <f>IFERROR(__xludf.DUMMYFUNCTION("""COMPUTED_VALUE"""),"Ernest")</f>
        <v>Ernest</v>
      </c>
      <c r="F45" s="37" t="str">
        <f>IFERROR(__xludf.DUMMYFUNCTION("""COMPUTED_VALUE"""),"SVK")</f>
        <v>SVK</v>
      </c>
      <c r="G45" s="37" t="str">
        <f>IFERROR(__xludf.DUMMYFUNCTION("""COMPUTED_VALUE"""),"Optika Oros Cycling Team")</f>
        <v>Optika Oros Cycling Team</v>
      </c>
      <c r="H45" s="37" t="str">
        <f>IFERROR(__xludf.DUMMYFUNCTION("""COMPUTED_VALUE"""),"EL")</f>
        <v>EL</v>
      </c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35" t="s">
        <v>37</v>
      </c>
      <c r="B46" s="35">
        <v>10.0</v>
      </c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)"),"1000002243")</f>
        <v>1000002243</v>
      </c>
      <c r="D46" s="37" t="str">
        <f>IFERROR(__xludf.DUMMYFUNCTION("""COMPUTED_VALUE"""),"PERET")</f>
        <v>PERET</v>
      </c>
      <c r="E46" s="37" t="str">
        <f>IFERROR(__xludf.DUMMYFUNCTION("""COMPUTED_VALUE"""),"KACPER")</f>
        <v>KACPER</v>
      </c>
      <c r="F46" s="37" t="str">
        <f>IFERROR(__xludf.DUMMYFUNCTION("""COMPUTED_VALUE"""),"POL")</f>
        <v>POL</v>
      </c>
      <c r="G46" s="37" t="str">
        <f>IFERROR(__xludf.DUMMYFUNCTION("""COMPUTED_VALUE"""),"DAR-BUD TEAM")</f>
        <v>DAR-BUD TEAM</v>
      </c>
      <c r="H46" s="37" t="str">
        <f>IFERROR(__xludf.DUMMYFUNCTION("""COMPUTED_VALUE"""),"EL")</f>
        <v>EL</v>
      </c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45" t="s">
        <v>37</v>
      </c>
      <c r="B47" s="45">
        <v>18.0</v>
      </c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)"),"10130479431")</f>
        <v>10130479431</v>
      </c>
      <c r="D47" s="44" t="str">
        <f>IFERROR(__xludf.DUMMYFUNCTION("""COMPUTED_VALUE"""),"Péter")</f>
        <v>Péter</v>
      </c>
      <c r="E47" s="44" t="str">
        <f>IFERROR(__xludf.DUMMYFUNCTION("""COMPUTED_VALUE"""),"Koloszár")</f>
        <v>Koloszár</v>
      </c>
      <c r="F47" s="44" t="str">
        <f>IFERROR(__xludf.DUMMYFUNCTION("""COMPUTED_VALUE"""),"HUN")</f>
        <v>HUN</v>
      </c>
      <c r="G47" s="44" t="str">
        <f>IFERROR(__xludf.DUMMYFUNCTION("""COMPUTED_VALUE"""),"Green Riders Cycling Team")</f>
        <v>Green Riders Cycling Team</v>
      </c>
      <c r="H47" s="44" t="str">
        <f>IFERROR(__xludf.DUMMYFUNCTION("""COMPUTED_VALUE"""),"EL")</f>
        <v>EL</v>
      </c>
      <c r="I47" s="4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45" t="s">
        <v>37</v>
      </c>
      <c r="B48" s="45">
        <v>29.0</v>
      </c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)"),"10091075910")</f>
        <v>10091075910</v>
      </c>
      <c r="D48" s="44" t="str">
        <f>IFERROR(__xludf.DUMMYFUNCTION("""COMPUTED_VALUE"""),"Davies")</f>
        <v>Davies</v>
      </c>
      <c r="E48" s="44" t="str">
        <f>IFERROR(__xludf.DUMMYFUNCTION("""COMPUTED_VALUE"""),"Joshua")</f>
        <v>Joshua</v>
      </c>
      <c r="F48" s="44" t="str">
        <f>IFERROR(__xludf.DUMMYFUNCTION("""COMPUTED_VALUE"""),"GBR")</f>
        <v>GBR</v>
      </c>
      <c r="G48" s="44" t="str">
        <f>IFERROR(__xludf.DUMMYFUNCTION("""COMPUTED_VALUE"""),"Rafkarna IDEA Cycling Team")</f>
        <v>Rafkarna IDEA Cycling Team</v>
      </c>
      <c r="H48" s="44" t="str">
        <f>IFERROR(__xludf.DUMMYFUNCTION("""COMPUTED_VALUE"""),"EL")</f>
        <v>EL</v>
      </c>
      <c r="I48" s="4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45" t="s">
        <v>37</v>
      </c>
      <c r="B49" s="45">
        <v>30.0</v>
      </c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)"),"10013451254")</f>
        <v>10013451254</v>
      </c>
      <c r="D49" s="44" t="str">
        <f>IFERROR(__xludf.DUMMYFUNCTION("""COMPUTED_VALUE"""),"Fierla")</f>
        <v>Fierla</v>
      </c>
      <c r="E49" s="44" t="str">
        <f>IFERROR(__xludf.DUMMYFUNCTION("""COMPUTED_VALUE"""),"Ondřej")</f>
        <v>Ondřej</v>
      </c>
      <c r="F49" s="44" t="str">
        <f>IFERROR(__xludf.DUMMYFUNCTION("""COMPUTED_VALUE"""),"CZE")</f>
        <v>CZE</v>
      </c>
      <c r="G49" s="44" t="str">
        <f>IFERROR(__xludf.DUMMYFUNCTION("""COMPUTED_VALUE"""),"Team Forman Energetic")</f>
        <v>Team Forman Energetic</v>
      </c>
      <c r="H49" s="44" t="str">
        <f>IFERROR(__xludf.DUMMYFUNCTION("""COMPUTED_VALUE"""),"EL")</f>
        <v>EL</v>
      </c>
      <c r="I49" s="4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35" t="s">
        <v>37</v>
      </c>
      <c r="B50" s="45">
        <v>35.0</v>
      </c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)"),"10013210875")</f>
        <v>10013210875</v>
      </c>
      <c r="D50" s="44" t="str">
        <f>IFERROR(__xludf.DUMMYFUNCTION("""COMPUTED_VALUE"""),"Frydrych")</f>
        <v>Frydrych</v>
      </c>
      <c r="E50" s="44" t="str">
        <f>IFERROR(__xludf.DUMMYFUNCTION("""COMPUTED_VALUE"""),"Tomáš")</f>
        <v>Tomáš</v>
      </c>
      <c r="F50" s="44" t="str">
        <f>IFERROR(__xludf.DUMMYFUNCTION("""COMPUTED_VALUE"""),"CZE")</f>
        <v>CZE</v>
      </c>
      <c r="G50" s="44" t="str">
        <f>IFERROR(__xludf.DUMMYFUNCTION("""COMPUTED_VALUE"""),"TJ AUTO ŠKODA Mladá Boleslav")</f>
        <v>TJ AUTO ŠKODA Mladá Boleslav</v>
      </c>
      <c r="H50" s="44" t="str">
        <f>IFERROR(__xludf.DUMMYFUNCTION("""COMPUTED_VALUE"""),"EL")</f>
        <v>EL</v>
      </c>
      <c r="I50" s="4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46"/>
      <c r="B51" s="47"/>
      <c r="C51" s="47"/>
      <c r="D51" s="47"/>
      <c r="E51" s="47"/>
      <c r="F51" s="47"/>
      <c r="G51" s="47"/>
      <c r="H51" s="47"/>
      <c r="I51" s="47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18"/>
      <c r="B52" s="18"/>
      <c r="C52" s="18"/>
      <c r="D52" s="18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18"/>
      <c r="B53" s="18"/>
      <c r="C53" s="18"/>
      <c r="D53" s="18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18"/>
      <c r="B54" s="18"/>
      <c r="C54" s="18"/>
      <c r="D54" s="18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18" t="s">
        <v>63</v>
      </c>
      <c r="C55" s="18">
        <v>12.0</v>
      </c>
      <c r="D55" s="18" t="s">
        <v>64</v>
      </c>
      <c r="E55" s="14"/>
      <c r="F55" s="14"/>
      <c r="G55" s="18" t="s">
        <v>65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14"/>
      <c r="B56" s="14"/>
      <c r="C56" s="14"/>
      <c r="D56" s="14"/>
      <c r="E56" s="14"/>
      <c r="F56" s="14"/>
      <c r="G56" s="18" t="s">
        <v>66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18" t="s">
        <v>67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</sheetData>
  <mergeCells count="10">
    <mergeCell ref="A12:B12"/>
    <mergeCell ref="A55:B55"/>
    <mergeCell ref="A57:B57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8.5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178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179</v>
      </c>
      <c r="C9" s="21">
        <v>3.0</v>
      </c>
      <c r="D9" s="23" t="s">
        <v>18</v>
      </c>
      <c r="E9" s="24">
        <v>80.0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9"/>
      <c r="D12" s="18" t="s">
        <v>25</v>
      </c>
      <c r="E12" s="29"/>
      <c r="F12" s="28"/>
      <c r="G12" s="18" t="s">
        <v>26</v>
      </c>
      <c r="H12" s="29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250.0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)"),"10093318933")</f>
        <v>10093318933</v>
      </c>
      <c r="D15" s="37" t="str">
        <f>IFERROR(__xludf.DUMMYFUNCTION("""COMPUTED_VALUE"""),"Janovský")</f>
        <v>Janovský</v>
      </c>
      <c r="E15" s="37" t="str">
        <f>IFERROR(__xludf.DUMMYFUNCTION("""COMPUTED_VALUE"""),"Tomáš")</f>
        <v>Tomáš</v>
      </c>
      <c r="F15" s="37" t="str">
        <f>IFERROR(__xludf.DUMMYFUNCTION("""COMPUTED_VALUE"""),"CZE")</f>
        <v>CZE</v>
      </c>
      <c r="G15" s="37" t="str">
        <f>IFERROR(__xludf.DUMMYFUNCTION("""COMPUTED_VALUE"""),"MAPEI MERIDA KAŇKOVSKÝ")</f>
        <v>MAPEI MERIDA KAŇKOVSKÝ</v>
      </c>
      <c r="H15" s="37" t="str">
        <f>IFERROR(__xludf.DUMMYFUNCTION("""COMPUTED_VALUE"""),"vlna")</f>
        <v>vlna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463.0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)"),"10121606254")</f>
        <v>10121606254</v>
      </c>
      <c r="D16" s="37" t="str">
        <f>IFERROR(__xludf.DUMMYFUNCTION("""COMPUTED_VALUE"""),"BLOKESZ")</f>
        <v>BLOKESZ</v>
      </c>
      <c r="E16" s="37" t="str">
        <f>IFERROR(__xludf.DUMMYFUNCTION("""COMPUTED_VALUE"""),"HUBERT")</f>
        <v>HUBERT</v>
      </c>
      <c r="F16" s="37" t="str">
        <f>IFERROR(__xludf.DUMMYFUNCTION("""COMPUTED_VALUE"""),"POL")</f>
        <v>POL</v>
      </c>
      <c r="G16" s="37" t="str">
        <f>IFERROR(__xludf.DUMMYFUNCTION("""COMPUTED_VALUE"""),"UKS AVATAR SILSIA TEAM")</f>
        <v>UKS AVATAR SILSIA TEAM</v>
      </c>
      <c r="H16" s="37" t="str">
        <f>IFERROR(__xludf.DUMMYFUNCTION("""COMPUTED_VALUE"""),"vlna")</f>
        <v>vlna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241.0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)"),"10092469676")</f>
        <v>10092469676</v>
      </c>
      <c r="D17" s="37" t="str">
        <f>IFERROR(__xludf.DUMMYFUNCTION("""COMPUTED_VALUE"""),"Čičkarić")</f>
        <v>Čičkarić</v>
      </c>
      <c r="E17" s="37" t="str">
        <f>IFERROR(__xludf.DUMMYFUNCTION("""COMPUTED_VALUE"""),"Marko")</f>
        <v>Marko</v>
      </c>
      <c r="F17" s="37" t="str">
        <f>IFERROR(__xludf.DUMMYFUNCTION("""COMPUTED_VALUE"""),"SRB")</f>
        <v>SRB</v>
      </c>
      <c r="G17" s="37" t="str">
        <f>IFERROR(__xludf.DUMMYFUNCTION("""COMPUTED_VALUE"""),"Lotus Team")</f>
        <v>Lotus Team</v>
      </c>
      <c r="H17" s="37" t="str">
        <f>IFERROR(__xludf.DUMMYFUNCTION("""COMPUTED_VALUE"""),"vlna")</f>
        <v>vlna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288.0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)"),"10082605584")</f>
        <v>10082605584</v>
      </c>
      <c r="D18" s="37" t="str">
        <f>IFERROR(__xludf.DUMMYFUNCTION("""COMPUTED_VALUE"""),"Icha")</f>
        <v>Icha</v>
      </c>
      <c r="E18" s="37" t="str">
        <f>IFERROR(__xludf.DUMMYFUNCTION("""COMPUTED_VALUE"""),"David")</f>
        <v>David</v>
      </c>
      <c r="F18" s="37" t="str">
        <f>IFERROR(__xludf.DUMMYFUNCTION("""COMPUTED_VALUE"""),"CZE")</f>
        <v>CZE</v>
      </c>
      <c r="G18" s="37" t="str">
        <f>IFERROR(__xludf.DUMMYFUNCTION("""COMPUTED_VALUE"""),"Team Dukla Praha")</f>
        <v>Team Dukla Praha</v>
      </c>
      <c r="H18" s="37" t="str">
        <f>IFERROR(__xludf.DUMMYFUNCTION("""COMPUTED_VALUE"""),"vlna")</f>
        <v>vlna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271.0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)"),"10083850016")</f>
        <v>10083850016</v>
      </c>
      <c r="D19" s="37" t="str">
        <f>IFERROR(__xludf.DUMMYFUNCTION("""COMPUTED_VALUE"""),"Michalík")</f>
        <v>Michalík</v>
      </c>
      <c r="E19" s="41" t="str">
        <f>IFERROR(__xludf.DUMMYFUNCTION("""COMPUTED_VALUE"""),"Timotej")</f>
        <v>Timotej</v>
      </c>
      <c r="F19" s="37" t="str">
        <f>IFERROR(__xludf.DUMMYFUNCTION("""COMPUTED_VALUE"""),"SVK")</f>
        <v>SVK</v>
      </c>
      <c r="G19" s="37" t="str">
        <f>IFERROR(__xludf.DUMMYFUNCTION("""COMPUTED_VALUE"""),"Roman Kreuziger Cycling Academy")</f>
        <v>Roman Kreuziger Cycling Academy</v>
      </c>
      <c r="H19" s="37" t="str">
        <f>IFERROR(__xludf.DUMMYFUNCTION("""COMPUTED_VALUE"""),"vlna")</f>
        <v>vlna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222.0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)"),"10046041537")</f>
        <v>10046041537</v>
      </c>
      <c r="D20" s="37" t="str">
        <f>IFERROR(__xludf.DUMMYFUNCTION("""COMPUTED_VALUE"""),"Michal")</f>
        <v>Michal</v>
      </c>
      <c r="E20" s="37" t="str">
        <f>IFERROR(__xludf.DUMMYFUNCTION("""COMPUTED_VALUE"""),"Kacina")</f>
        <v>Kacina</v>
      </c>
      <c r="F20" s="37" t="str">
        <f>IFERROR(__xludf.DUMMYFUNCTION("""COMPUTED_VALUE"""),"SVK")</f>
        <v>SVK</v>
      </c>
      <c r="G20" s="37" t="str">
        <f>IFERROR(__xludf.DUMMYFUNCTION("""COMPUTED_VALUE"""),"CLIMBERG SPORT TEAM")</f>
        <v>CLIMBERG SPORT TEAM</v>
      </c>
      <c r="H20" s="37" t="str">
        <f>IFERROR(__xludf.DUMMYFUNCTION("""COMPUTED_VALUE"""),"vlna")</f>
        <v>vlna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276.0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)"),"10115287312")</f>
        <v>10115287312</v>
      </c>
      <c r="D21" s="37" t="str">
        <f>IFERROR(__xludf.DUMMYFUNCTION("""COMPUTED_VALUE"""),"Rous")</f>
        <v>Rous</v>
      </c>
      <c r="E21" s="37" t="str">
        <f>IFERROR(__xludf.DUMMYFUNCTION("""COMPUTED_VALUE"""),"Martin")</f>
        <v>Martin</v>
      </c>
      <c r="F21" s="37" t="str">
        <f>IFERROR(__xludf.DUMMYFUNCTION("""COMPUTED_VALUE"""),"CZE")</f>
        <v>CZE</v>
      </c>
      <c r="G21" s="37" t="str">
        <f>IFERROR(__xludf.DUMMYFUNCTION("""COMPUTED_VALUE"""),"Roman Kreuziger Cycling Academy")</f>
        <v>Roman Kreuziger Cycling Academy</v>
      </c>
      <c r="H21" s="37" t="str">
        <f>IFERROR(__xludf.DUMMYFUNCTION("""COMPUTED_VALUE"""),"vlna")</f>
        <v>vlna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275.0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)"),"10104433719")</f>
        <v>10104433719</v>
      </c>
      <c r="D22" s="37" t="str">
        <f>IFERROR(__xludf.DUMMYFUNCTION("""COMPUTED_VALUE"""),"Bečvář")</f>
        <v>Bečvář</v>
      </c>
      <c r="E22" s="37" t="str">
        <f>IFERROR(__xludf.DUMMYFUNCTION("""COMPUTED_VALUE"""),"Oliver")</f>
        <v>Oliver</v>
      </c>
      <c r="F22" s="37" t="str">
        <f>IFERROR(__xludf.DUMMYFUNCTION("""COMPUTED_VALUE"""),"CZE")</f>
        <v>CZE</v>
      </c>
      <c r="G22" s="37" t="str">
        <f>IFERROR(__xludf.DUMMYFUNCTION("""COMPUTED_VALUE"""),"Roman Kreuziger Cycling Academy")</f>
        <v>Roman Kreuziger Cycling Academy</v>
      </c>
      <c r="H22" s="37" t="str">
        <f>IFERROR(__xludf.DUMMYFUNCTION("""COMPUTED_VALUE"""),"vlna")</f>
        <v>vlna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212.0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)"),"10093382486")</f>
        <v>10093382486</v>
      </c>
      <c r="D23" s="37" t="str">
        <f>IFERROR(__xludf.DUMMYFUNCTION("""COMPUTED_VALUE"""),"John")</f>
        <v>John</v>
      </c>
      <c r="E23" s="37" t="str">
        <f>IFERROR(__xludf.DUMMYFUNCTION("""COMPUTED_VALUE"""),"Antonín")</f>
        <v>Antonín</v>
      </c>
      <c r="F23" s="37" t="str">
        <f>IFERROR(__xludf.DUMMYFUNCTION("""COMPUTED_VALUE"""),"CZE")</f>
        <v>CZE</v>
      </c>
      <c r="G23" s="37" t="str">
        <f>IFERROR(__xludf.DUMMYFUNCTION("""COMPUTED_VALUE"""),"BRILON RACING TEAM MB")</f>
        <v>BRILON RACING TEAM MB</v>
      </c>
      <c r="H23" s="37" t="str">
        <f>IFERROR(__xludf.DUMMYFUNCTION("""COMPUTED_VALUE"""),"vlna")</f>
        <v>vlna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243.0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)"),"10108624220")</f>
        <v>10108624220</v>
      </c>
      <c r="D24" s="37" t="str">
        <f>IFERROR(__xludf.DUMMYFUNCTION("""COMPUTED_VALUE"""),"Logins")</f>
        <v>Logins</v>
      </c>
      <c r="E24" s="37" t="str">
        <f>IFERROR(__xludf.DUMMYFUNCTION("""COMPUTED_VALUE"""),"Arvids")</f>
        <v>Arvids</v>
      </c>
      <c r="F24" s="37" t="str">
        <f>IFERROR(__xludf.DUMMYFUNCTION("""COMPUTED_VALUE"""),"LVA")</f>
        <v>LVA</v>
      </c>
      <c r="G24" s="37" t="str">
        <f>IFERROR(__xludf.DUMMYFUNCTION("""COMPUTED_VALUE"""),"Lotus Team")</f>
        <v>Lotus Team</v>
      </c>
      <c r="H24" s="37" t="str">
        <f>IFERROR(__xludf.DUMMYFUNCTION("""COMPUTED_VALUE"""),"vlna")</f>
        <v>vlna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278.0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)"),"100 980 211 10")</f>
        <v>100 980 211 10</v>
      </c>
      <c r="D25" s="37" t="str">
        <f>IFERROR(__xludf.DUMMYFUNCTION("""COMPUTED_VALUE"""),"Rýbanský")</f>
        <v>Rýbanský</v>
      </c>
      <c r="E25" s="37" t="str">
        <f>IFERROR(__xludf.DUMMYFUNCTION("""COMPUTED_VALUE"""),"Tadeáš")</f>
        <v>Tadeáš</v>
      </c>
      <c r="F25" s="37" t="str">
        <f>IFERROR(__xludf.DUMMYFUNCTION("""COMPUTED_VALUE"""),"SVK")</f>
        <v>SVK</v>
      </c>
      <c r="G25" s="37" t="str">
        <f>IFERROR(__xludf.DUMMYFUNCTION("""COMPUTED_VALUE"""),"Slávia Trenčín")</f>
        <v>Slávia Trenčín</v>
      </c>
      <c r="H25" s="37" t="str">
        <f>IFERROR(__xludf.DUMMYFUNCTION("""COMPUTED_VALUE"""),"vlna")</f>
        <v>vlna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270.0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)"),"10131605742")</f>
        <v>10131605742</v>
      </c>
      <c r="D26" s="37" t="str">
        <f>IFERROR(__xludf.DUMMYFUNCTION("""COMPUTED_VALUE"""),"Stiblík")</f>
        <v>Stiblík</v>
      </c>
      <c r="E26" s="37" t="str">
        <f>IFERROR(__xludf.DUMMYFUNCTION("""COMPUTED_VALUE"""),"Marek")</f>
        <v>Marek</v>
      </c>
      <c r="F26" s="37" t="str">
        <f>IFERROR(__xludf.DUMMYFUNCTION("""COMPUTED_VALUE"""),"CZE")</f>
        <v>CZE</v>
      </c>
      <c r="G26" s="37" t="str">
        <f>IFERROR(__xludf.DUMMYFUNCTION("""COMPUTED_VALUE"""),"Roman Kreuziger Cycling Academy")</f>
        <v>Roman Kreuziger Cycling Academy</v>
      </c>
      <c r="H26" s="37" t="str">
        <f>IFERROR(__xludf.DUMMYFUNCTION("""COMPUTED_VALUE"""),"vlna")</f>
        <v>vlna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269.0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)"),"10086845696")</f>
        <v>10086845696</v>
      </c>
      <c r="D27" s="37" t="str">
        <f>IFERROR(__xludf.DUMMYFUNCTION("""COMPUTED_VALUE"""),"Kuběna")</f>
        <v>Kuběna</v>
      </c>
      <c r="E27" s="37" t="str">
        <f>IFERROR(__xludf.DUMMYFUNCTION("""COMPUTED_VALUE"""),"Daniel")</f>
        <v>Daniel</v>
      </c>
      <c r="F27" s="37" t="str">
        <f>IFERROR(__xludf.DUMMYFUNCTION("""COMPUTED_VALUE"""),"CZE")</f>
        <v>CZE</v>
      </c>
      <c r="G27" s="37" t="str">
        <f>IFERROR(__xludf.DUMMYFUNCTION("""COMPUTED_VALUE"""),"Roman Kreuziger Cycling Academy")</f>
        <v>Roman Kreuziger Cycling Academy</v>
      </c>
      <c r="H27" s="37" t="str">
        <f>IFERROR(__xludf.DUMMYFUNCTION("""COMPUTED_VALUE"""),"vlna")</f>
        <v>vlna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287.0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)"),"10140825590")</f>
        <v>10140825590</v>
      </c>
      <c r="D28" s="37" t="str">
        <f>IFERROR(__xludf.DUMMYFUNCTION("""COMPUTED_VALUE"""),"Zaňka")</f>
        <v>Zaňka</v>
      </c>
      <c r="E28" s="37" t="str">
        <f>IFERROR(__xludf.DUMMYFUNCTION("""COMPUTED_VALUE"""),"Jakub")</f>
        <v>Jakub</v>
      </c>
      <c r="F28" s="37" t="str">
        <f>IFERROR(__xludf.DUMMYFUNCTION("""COMPUTED_VALUE"""),"CZE")</f>
        <v>CZE</v>
      </c>
      <c r="G28" s="37" t="str">
        <f>IFERROR(__xludf.DUMMYFUNCTION("""COMPUTED_VALUE"""),"Team Dukla Praha")</f>
        <v>Team Dukla Praha</v>
      </c>
      <c r="H28" s="37" t="str">
        <f>IFERROR(__xludf.DUMMYFUNCTION("""COMPUTED_VALUE"""),"vlna")</f>
        <v>vlna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5">
        <v>15.0</v>
      </c>
      <c r="B29" s="36">
        <v>4.0</v>
      </c>
      <c r="C29" s="37" t="s">
        <v>180</v>
      </c>
      <c r="D29" s="37" t="s">
        <v>181</v>
      </c>
      <c r="E29" s="37" t="s">
        <v>182</v>
      </c>
      <c r="F29" s="37" t="s">
        <v>183</v>
      </c>
      <c r="G29" s="37" t="s">
        <v>184</v>
      </c>
      <c r="H29" s="37" t="s">
        <v>177</v>
      </c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5">
        <v>16.0</v>
      </c>
      <c r="B30" s="35">
        <v>472.0</v>
      </c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)"),"10066167926")</f>
        <v>10066167926</v>
      </c>
      <c r="D30" s="37" t="str">
        <f>IFERROR(__xludf.DUMMYFUNCTION("""COMPUTED_VALUE"""),"Barica")</f>
        <v>Barica</v>
      </c>
      <c r="E30" s="37" t="str">
        <f>IFERROR(__xludf.DUMMYFUNCTION("""COMPUTED_VALUE"""),"Mathias")</f>
        <v>Mathias</v>
      </c>
      <c r="F30" s="37" t="str">
        <f>IFERROR(__xludf.DUMMYFUNCTION("""COMPUTED_VALUE"""),"SVK")</f>
        <v>SVK</v>
      </c>
      <c r="G30" s="37" t="str">
        <f>IFERROR(__xludf.DUMMYFUNCTION("""COMPUTED_VALUE"""),"Roman Kreuziger Cycling Academy")</f>
        <v>Roman Kreuziger Cycling Academy</v>
      </c>
      <c r="H30" s="37" t="str">
        <f>IFERROR(__xludf.DUMMYFUNCTION("""COMPUTED_VALUE"""),"vlna")</f>
        <v>vlna</v>
      </c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5">
        <v>17.0</v>
      </c>
      <c r="B31" s="35">
        <v>140.0</v>
      </c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)"),"10047423886")</f>
        <v>10047423886</v>
      </c>
      <c r="D31" s="37" t="str">
        <f>IFERROR(__xludf.DUMMYFUNCTION("""COMPUTED_VALUE"""),"Faltýnek")</f>
        <v>Faltýnek</v>
      </c>
      <c r="E31" s="37" t="str">
        <f>IFERROR(__xludf.DUMMYFUNCTION("""COMPUTED_VALUE"""),"Jan")</f>
        <v>Jan</v>
      </c>
      <c r="F31" s="37" t="str">
        <f>IFERROR(__xludf.DUMMYFUNCTION("""COMPUTED_VALUE"""),"CZE")</f>
        <v>CZE</v>
      </c>
      <c r="G31" s="37" t="str">
        <f>IFERROR(__xludf.DUMMYFUNCTION("""COMPUTED_VALUE"""),"Fany Gastro Integray L28")</f>
        <v>Fany Gastro Integray L28</v>
      </c>
      <c r="H31" s="37" t="str">
        <f>IFERROR(__xludf.DUMMYFUNCTION("""COMPUTED_VALUE"""),"vlna")</f>
        <v>vlna</v>
      </c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5">
        <v>18.0</v>
      </c>
      <c r="B32" s="35">
        <v>119.0</v>
      </c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)"),"10063942279")</f>
        <v>10063942279</v>
      </c>
      <c r="D32" s="37" t="str">
        <f>IFERROR(__xludf.DUMMYFUNCTION("""COMPUTED_VALUE"""),"Kapela")</f>
        <v>Kapela</v>
      </c>
      <c r="E32" s="37" t="str">
        <f>IFERROR(__xludf.DUMMYFUNCTION("""COMPUTED_VALUE"""),"Marek")</f>
        <v>Marek</v>
      </c>
      <c r="F32" s="37" t="str">
        <f>IFERROR(__xludf.DUMMYFUNCTION("""COMPUTED_VALUE"""),"POL")</f>
        <v>POL</v>
      </c>
      <c r="G32" s="37" t="str">
        <f>IFERROR(__xludf.DUMMYFUNCTION("""COMPUTED_VALUE"""),"Klub Kolarski Tarnovia")</f>
        <v>Klub Kolarski Tarnovia</v>
      </c>
      <c r="H32" s="37" t="str">
        <f>IFERROR(__xludf.DUMMYFUNCTION("""COMPUTED_VALUE"""),"vlna")</f>
        <v>vlna</v>
      </c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5">
        <v>19.0</v>
      </c>
      <c r="B33" s="35">
        <v>104.0</v>
      </c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)"),"10144300719")</f>
        <v>10144300719</v>
      </c>
      <c r="D33" s="37" t="str">
        <f>IFERROR(__xludf.DUMMYFUNCTION("""COMPUTED_VALUE"""),"Grósz")</f>
        <v>Grósz</v>
      </c>
      <c r="E33" s="37" t="str">
        <f>IFERROR(__xludf.DUMMYFUNCTION("""COMPUTED_VALUE"""),"Gergő")</f>
        <v>Gergő</v>
      </c>
      <c r="F33" s="37" t="str">
        <f>IFERROR(__xludf.DUMMYFUNCTION("""COMPUTED_VALUE"""),"HUN")</f>
        <v>HUN</v>
      </c>
      <c r="G33" s="37" t="str">
        <f>IFERROR(__xludf.DUMMYFUNCTION("""COMPUTED_VALUE"""),"ARBÖ Kärnten Sport Feld am See")</f>
        <v>ARBÖ Kärnten Sport Feld am See</v>
      </c>
      <c r="H33" s="37" t="str">
        <f>IFERROR(__xludf.DUMMYFUNCTION("""COMPUTED_VALUE"""),"vlna")</f>
        <v>vlna</v>
      </c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5">
        <v>20.0</v>
      </c>
      <c r="B34" s="35">
        <v>106.0</v>
      </c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)"),"10063367858")</f>
        <v>10063367858</v>
      </c>
      <c r="D34" s="37" t="str">
        <f>IFERROR(__xludf.DUMMYFUNCTION("""COMPUTED_VALUE"""),"HANCZ")</f>
        <v>HANCZ</v>
      </c>
      <c r="E34" s="37" t="str">
        <f>IFERROR(__xludf.DUMMYFUNCTION("""COMPUTED_VALUE"""),"Tamás")</f>
        <v>Tamás</v>
      </c>
      <c r="F34" s="37" t="str">
        <f>IFERROR(__xludf.DUMMYFUNCTION("""COMPUTED_VALUE"""),"HUN")</f>
        <v>HUN</v>
      </c>
      <c r="G34" s="37" t="str">
        <f>IFERROR(__xludf.DUMMYFUNCTION("""COMPUTED_VALUE"""),"ASPIN Cycling Team (ACT)")</f>
        <v>ASPIN Cycling Team (ACT)</v>
      </c>
      <c r="H34" s="37" t="str">
        <f>IFERROR(__xludf.DUMMYFUNCTION("""COMPUTED_VALUE"""),"vlna")</f>
        <v>vlna</v>
      </c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185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186</v>
      </c>
      <c r="C9" s="21"/>
      <c r="D9" s="23" t="s">
        <v>18</v>
      </c>
      <c r="E9" s="24" t="s">
        <v>187</v>
      </c>
      <c r="F9" s="21"/>
      <c r="G9" s="23" t="s">
        <v>21</v>
      </c>
      <c r="H9" s="25" t="s">
        <v>187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55" t="s">
        <v>187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4.0</v>
      </c>
      <c r="D12" s="18" t="s">
        <v>25</v>
      </c>
      <c r="E12" s="26">
        <v>4.0</v>
      </c>
      <c r="F12" s="28"/>
      <c r="G12" s="18" t="s">
        <v>26</v>
      </c>
      <c r="H12" s="26">
        <v>4.0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40.0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)"),"")</f>
        <v/>
      </c>
      <c r="D15" s="37" t="str">
        <f>IFERROR(__xludf.DUMMYFUNCTION("""COMPUTED_VALUE"""),"WENSCHITZ")</f>
        <v>WENSCHITZ</v>
      </c>
      <c r="E15" s="37" t="str">
        <f>IFERROR(__xludf.DUMMYFUNCTION("""COMPUTED_VALUE"""),"Tea")</f>
        <v>Tea</v>
      </c>
      <c r="F15" s="37" t="str">
        <f>IFERROR(__xludf.DUMMYFUNCTION("""COMPUTED_VALUE"""),"AUT")</f>
        <v>AUT</v>
      </c>
      <c r="G15" s="37" t="str">
        <f>IFERROR(__xludf.DUMMYFUNCTION("""COMPUTED_VALUE"""),"ARBÖ ASKÖ RLM Wien")</f>
        <v>ARBÖ ASKÖ RLM Wien</v>
      </c>
      <c r="H15" s="37" t="str">
        <f>IFERROR(__xludf.DUMMYFUNCTION("""COMPUTED_VALUE"""),"G8")</f>
        <v>G8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11.0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)"),"")</f>
        <v/>
      </c>
      <c r="D16" s="37" t="str">
        <f>IFERROR(__xludf.DUMMYFUNCTION("""COMPUTED_VALUE"""),"PODRAZILOVÁ")</f>
        <v>PODRAZILOVÁ</v>
      </c>
      <c r="E16" s="37" t="str">
        <f>IFERROR(__xludf.DUMMYFUNCTION("""COMPUTED_VALUE"""),"Lea")</f>
        <v>Lea</v>
      </c>
      <c r="F16" s="37" t="str">
        <f>IFERROR(__xludf.DUMMYFUNCTION("""COMPUTED_VALUE"""),"CZE")</f>
        <v>CZE</v>
      </c>
      <c r="G16" s="37" t="str">
        <f>IFERROR(__xludf.DUMMYFUNCTION("""COMPUTED_VALUE"""),"SCX")</f>
        <v>SCX</v>
      </c>
      <c r="H16" s="37" t="str">
        <f>IFERROR(__xludf.DUMMYFUNCTION("""COMPUTED_VALUE"""),"G8")</f>
        <v>G8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31.0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IFERROR(__xludf.DUMMYFUNCTION("""COMPUTED_VALUE"""),"NAJDEKROVÁ")</f>
        <v>NAJDEKROVÁ</v>
      </c>
      <c r="E17" s="37" t="str">
        <f>IFERROR(__xludf.DUMMYFUNCTION("""COMPUTED_VALUE"""),"Meda")</f>
        <v>Meda</v>
      </c>
      <c r="F17" s="37" t="str">
        <f>IFERROR(__xludf.DUMMYFUNCTION("""COMPUTED_VALUE"""),"CZE")</f>
        <v>CZE</v>
      </c>
      <c r="G17" s="37" t="str">
        <f>IFERROR(__xludf.DUMMYFUNCTION("""COMPUTED_VALUE"""),"SUPERIOR Team Jeseník")</f>
        <v>SUPERIOR Team Jeseník</v>
      </c>
      <c r="H17" s="37" t="str">
        <f>IFERROR(__xludf.DUMMYFUNCTION("""COMPUTED_VALUE"""),"G8")</f>
        <v>G8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41.0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IFERROR(__xludf.DUMMYFUNCTION("""COMPUTED_VALUE"""),"VYMYSLICKÁ")</f>
        <v>VYMYSLICKÁ</v>
      </c>
      <c r="E18" s="37" t="str">
        <f>IFERROR(__xludf.DUMMYFUNCTION("""COMPUTED_VALUE"""),"Adéla")</f>
        <v>Adéla</v>
      </c>
      <c r="F18" s="37" t="str">
        <f>IFERROR(__xludf.DUMMYFUNCTION("""COMPUTED_VALUE"""),"CZE")</f>
        <v>CZE</v>
      </c>
      <c r="G18" s="37"/>
      <c r="H18" s="37" t="str">
        <f>IFERROR(__xludf.DUMMYFUNCTION("""COMPUTED_VALUE"""),"G8")</f>
        <v>G8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idden="1">
      <c r="A19" s="35">
        <v>5.0</v>
      </c>
      <c r="B19" s="38"/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)"),"")</f>
        <v/>
      </c>
      <c r="D19" s="37"/>
      <c r="E19" s="41"/>
      <c r="F19" s="37"/>
      <c r="G19" s="37"/>
      <c r="H19" s="37"/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idden="1">
      <c r="A20" s="35">
        <v>6.0</v>
      </c>
      <c r="B20" s="38"/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)"),"")</f>
        <v/>
      </c>
      <c r="D20" s="37"/>
      <c r="E20" s="37"/>
      <c r="F20" s="37"/>
      <c r="G20" s="37"/>
      <c r="H20" s="37"/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idden="1">
      <c r="A21" s="35">
        <v>7.0</v>
      </c>
      <c r="B21" s="38"/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/>
      <c r="E21" s="37"/>
      <c r="F21" s="37"/>
      <c r="G21" s="37"/>
      <c r="H21" s="37"/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idden="1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idden="1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idden="1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idden="1">
      <c r="A25" s="38"/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idden="1">
      <c r="A26" s="38"/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idden="1">
      <c r="A27" s="38"/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idden="1">
      <c r="A28" s="38"/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188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189</v>
      </c>
      <c r="C9" s="21"/>
      <c r="D9" s="23" t="s">
        <v>18</v>
      </c>
      <c r="E9" s="24" t="s">
        <v>187</v>
      </c>
      <c r="F9" s="21"/>
      <c r="G9" s="23" t="s">
        <v>21</v>
      </c>
      <c r="H9" s="25" t="s">
        <v>187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55" t="s">
        <v>187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14.0</v>
      </c>
      <c r="D12" s="18" t="s">
        <v>25</v>
      </c>
      <c r="E12" s="26">
        <v>14.0</v>
      </c>
      <c r="F12" s="28"/>
      <c r="G12" s="18" t="s">
        <v>26</v>
      </c>
      <c r="H12" s="26">
        <v>14.0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15.0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)"),"")</f>
        <v/>
      </c>
      <c r="D15" s="37" t="str">
        <f>IFERROR(__xludf.DUMMYFUNCTION("""COMPUTED_VALUE"""),"GAŠPIRIK")</f>
        <v>GAŠPIRIK</v>
      </c>
      <c r="E15" s="37" t="str">
        <f>IFERROR(__xludf.DUMMYFUNCTION("""COMPUTED_VALUE"""),"Samuel")</f>
        <v>Samuel</v>
      </c>
      <c r="F15" s="37" t="str">
        <f>IFERROR(__xludf.DUMMYFUNCTION("""COMPUTED_VALUE"""),"CZE")</f>
        <v>CZE</v>
      </c>
      <c r="G15" s="37"/>
      <c r="H15" s="37" t="str">
        <f>IFERROR(__xludf.DUMMYFUNCTION("""COMPUTED_VALUE"""),"B8")</f>
        <v>B8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3.0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)"),"")</f>
        <v/>
      </c>
      <c r="D16" s="37" t="str">
        <f>IFERROR(__xludf.DUMMYFUNCTION("""COMPUTED_VALUE"""),"VONDRUŠKA")</f>
        <v>VONDRUŠKA</v>
      </c>
      <c r="E16" s="37" t="str">
        <f>IFERROR(__xludf.DUMMYFUNCTION("""COMPUTED_VALUE"""),"Filip")</f>
        <v>Filip</v>
      </c>
      <c r="F16" s="37" t="str">
        <f>IFERROR(__xludf.DUMMYFUNCTION("""COMPUTED_VALUE"""),"CZE")</f>
        <v>CZE</v>
      </c>
      <c r="G16" s="37"/>
      <c r="H16" s="37" t="str">
        <f>IFERROR(__xludf.DUMMYFUNCTION("""COMPUTED_VALUE"""),"B8")</f>
        <v>B8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4.0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IFERROR(__xludf.DUMMYFUNCTION("""COMPUTED_VALUE"""),"OVŠONKA")</f>
        <v>OVŠONKA</v>
      </c>
      <c r="E17" s="37" t="str">
        <f>IFERROR(__xludf.DUMMYFUNCTION("""COMPUTED_VALUE"""),"Jonáš")</f>
        <v>Jonáš</v>
      </c>
      <c r="F17" s="37" t="str">
        <f>IFERROR(__xludf.DUMMYFUNCTION("""COMPUTED_VALUE"""),"SVK")</f>
        <v>SVK</v>
      </c>
      <c r="G17" s="37"/>
      <c r="H17" s="37" t="str">
        <f>IFERROR(__xludf.DUMMYFUNCTION("""COMPUTED_VALUE"""),"B8")</f>
        <v>B8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39.0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IFERROR(__xludf.DUMMYFUNCTION("""COMPUTED_VALUE"""),"BRZOBOHATÝ")</f>
        <v>BRZOBOHATÝ</v>
      </c>
      <c r="E18" s="37" t="str">
        <f>IFERROR(__xludf.DUMMYFUNCTION("""COMPUTED_VALUE"""),"Ludvík")</f>
        <v>Ludvík</v>
      </c>
      <c r="F18" s="37" t="str">
        <f>IFERROR(__xludf.DUMMYFUNCTION("""COMPUTED_VALUE"""),"CZE")</f>
        <v>CZE</v>
      </c>
      <c r="G18" s="37" t="str">
        <f>IFERROR(__xludf.DUMMYFUNCTION("""COMPUTED_VALUE"""),"Tufo ")</f>
        <v>Tufo </v>
      </c>
      <c r="H18" s="37" t="str">
        <f>IFERROR(__xludf.DUMMYFUNCTION("""COMPUTED_VALUE"""),"B8")</f>
        <v>B8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47.0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)"),"")</f>
        <v/>
      </c>
      <c r="D19" s="37" t="str">
        <f>IFERROR(__xludf.DUMMYFUNCTION("""COMPUTED_VALUE"""),"FALTÝNEK")</f>
        <v>FALTÝNEK</v>
      </c>
      <c r="E19" s="41" t="str">
        <f>IFERROR(__xludf.DUMMYFUNCTION("""COMPUTED_VALUE"""),"Jiří")</f>
        <v>Jiří</v>
      </c>
      <c r="F19" s="37" t="str">
        <f>IFERROR(__xludf.DUMMYFUNCTION("""COMPUTED_VALUE"""),"CZE")</f>
        <v>CZE</v>
      </c>
      <c r="G19" s="37" t="str">
        <f>IFERROR(__xludf.DUMMYFUNCTION("""COMPUTED_VALUE"""),"SCX")</f>
        <v>SCX</v>
      </c>
      <c r="H19" s="37" t="str">
        <f>IFERROR(__xludf.DUMMYFUNCTION("""COMPUTED_VALUE"""),"B8")</f>
        <v>B8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10.0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)"),"")</f>
        <v/>
      </c>
      <c r="D20" s="37" t="str">
        <f>IFERROR(__xludf.DUMMYFUNCTION("""COMPUTED_VALUE"""),"NAVRÁTIL")</f>
        <v>NAVRÁTIL</v>
      </c>
      <c r="E20" s="37" t="str">
        <f>IFERROR(__xludf.DUMMYFUNCTION("""COMPUTED_VALUE"""),"Viktor")</f>
        <v>Viktor</v>
      </c>
      <c r="F20" s="37" t="str">
        <f>IFERROR(__xludf.DUMMYFUNCTION("""COMPUTED_VALUE"""),"CZE")</f>
        <v>CZE</v>
      </c>
      <c r="G20" s="37" t="str">
        <f>IFERROR(__xludf.DUMMYFUNCTION("""COMPUTED_VALUE"""),"Tufo ")</f>
        <v>Tufo </v>
      </c>
      <c r="H20" s="37" t="str">
        <f>IFERROR(__xludf.DUMMYFUNCTION("""COMPUTED_VALUE"""),"B8")</f>
        <v>B8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32.0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 t="str">
        <f>IFERROR(__xludf.DUMMYFUNCTION("""COMPUTED_VALUE"""),"KOLÁŘ")</f>
        <v>KOLÁŘ</v>
      </c>
      <c r="E21" s="37" t="str">
        <f>IFERROR(__xludf.DUMMYFUNCTION("""COMPUTED_VALUE"""),"David")</f>
        <v>David</v>
      </c>
      <c r="F21" s="37" t="str">
        <f>IFERROR(__xludf.DUMMYFUNCTION("""COMPUTED_VALUE"""),"CZE")</f>
        <v>CZE</v>
      </c>
      <c r="G21" s="37" t="str">
        <f>IFERROR(__xludf.DUMMYFUNCTION("""COMPUTED_VALUE"""),"Tufo ")</f>
        <v>Tufo </v>
      </c>
      <c r="H21" s="37" t="str">
        <f>IFERROR(__xludf.DUMMYFUNCTION("""COMPUTED_VALUE"""),"B8")</f>
        <v>B8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19.0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 t="str">
        <f>IFERROR(__xludf.DUMMYFUNCTION("""COMPUTED_VALUE"""),"B8")</f>
        <v>B8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46.0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 t="str">
        <f>IFERROR(__xludf.DUMMYFUNCTION("""COMPUTED_VALUE"""),"PAPEŽ")</f>
        <v>PAPEŽ</v>
      </c>
      <c r="E23" s="37" t="str">
        <f>IFERROR(__xludf.DUMMYFUNCTION("""COMPUTED_VALUE"""),"Oldřich")</f>
        <v>Oldřich</v>
      </c>
      <c r="F23" s="37" t="str">
        <f>IFERROR(__xludf.DUMMYFUNCTION("""COMPUTED_VALUE"""),"CZE")</f>
        <v>CZE</v>
      </c>
      <c r="G23" s="37" t="str">
        <f>IFERROR(__xludf.DUMMYFUNCTION("""COMPUTED_VALUE"""),"Tufo ")</f>
        <v>Tufo </v>
      </c>
      <c r="H23" s="37" t="str">
        <f>IFERROR(__xludf.DUMMYFUNCTION("""COMPUTED_VALUE"""),"B8")</f>
        <v>B8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27.0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 t="str">
        <f>IFERROR(__xludf.DUMMYFUNCTION("""COMPUTED_VALUE"""),"POLÁK")</f>
        <v>POLÁK</v>
      </c>
      <c r="E24" s="37" t="str">
        <f>IFERROR(__xludf.DUMMYFUNCTION("""COMPUTED_VALUE"""),"Marek")</f>
        <v>Marek</v>
      </c>
      <c r="F24" s="37" t="str">
        <f>IFERROR(__xludf.DUMMYFUNCTION("""COMPUTED_VALUE"""),"CZE")</f>
        <v>CZE</v>
      </c>
      <c r="G24" s="37"/>
      <c r="H24" s="37" t="str">
        <f>IFERROR(__xludf.DUMMYFUNCTION("""COMPUTED_VALUE"""),"B8")</f>
        <v>B8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28.0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 t="str">
        <f>IFERROR(__xludf.DUMMYFUNCTION("""COMPUTED_VALUE"""),"PROCHÁZKA")</f>
        <v>PROCHÁZKA</v>
      </c>
      <c r="E25" s="37" t="str">
        <f>IFERROR(__xludf.DUMMYFUNCTION("""COMPUTED_VALUE"""),"Vincent")</f>
        <v>Vincent</v>
      </c>
      <c r="F25" s="37" t="str">
        <f>IFERROR(__xludf.DUMMYFUNCTION("""COMPUTED_VALUE"""),"CZE")</f>
        <v>CZE</v>
      </c>
      <c r="G25" s="37" t="str">
        <f>IFERROR(__xludf.DUMMYFUNCTION("""COMPUTED_VALUE"""),"Tufo ")</f>
        <v>Tufo </v>
      </c>
      <c r="H25" s="37" t="str">
        <f>IFERROR(__xludf.DUMMYFUNCTION("""COMPUTED_VALUE"""),"B8")</f>
        <v>B8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17.0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 t="str">
        <f>IFERROR(__xludf.DUMMYFUNCTION("""COMPUTED_VALUE"""),"TARABA")</f>
        <v>TARABA</v>
      </c>
      <c r="E26" s="37" t="str">
        <f>IFERROR(__xludf.DUMMYFUNCTION("""COMPUTED_VALUE"""),"Daniel")</f>
        <v>Daniel</v>
      </c>
      <c r="F26" s="37" t="str">
        <f>IFERROR(__xludf.DUMMYFUNCTION("""COMPUTED_VALUE"""),"CZE")</f>
        <v>CZE</v>
      </c>
      <c r="G26" s="37" t="str">
        <f>IFERROR(__xludf.DUMMYFUNCTION("""COMPUTED_VALUE"""),"SUPERIOR Team Jeseník")</f>
        <v>SUPERIOR Team Jeseník</v>
      </c>
      <c r="H26" s="37" t="str">
        <f>IFERROR(__xludf.DUMMYFUNCTION("""COMPUTED_VALUE"""),"B8")</f>
        <v>B8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29.0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 t="str">
        <f>IFERROR(__xludf.DUMMYFUNCTION("""COMPUTED_VALUE"""),"GRIC")</f>
        <v>GRIC</v>
      </c>
      <c r="E27" s="37" t="str">
        <f>IFERROR(__xludf.DUMMYFUNCTION("""COMPUTED_VALUE"""),"František")</f>
        <v>František</v>
      </c>
      <c r="F27" s="37" t="str">
        <f>IFERROR(__xludf.DUMMYFUNCTION("""COMPUTED_VALUE"""),"CZE")</f>
        <v>CZE</v>
      </c>
      <c r="G27" s="37"/>
      <c r="H27" s="37" t="str">
        <f>IFERROR(__xludf.DUMMYFUNCTION("""COMPUTED_VALUE"""),"B8")</f>
        <v>B8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>
        <v>14.0</v>
      </c>
      <c r="B28" s="35">
        <v>36.0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 t="str">
        <f>IFERROR(__xludf.DUMMYFUNCTION("""COMPUTED_VALUE"""),"ŠKORPA")</f>
        <v>ŠKORPA</v>
      </c>
      <c r="E28" s="37" t="str">
        <f>IFERROR(__xludf.DUMMYFUNCTION("""COMPUTED_VALUE"""),"Petr")</f>
        <v>Petr</v>
      </c>
      <c r="F28" s="37" t="str">
        <f>IFERROR(__xludf.DUMMYFUNCTION("""COMPUTED_VALUE"""),"CZE")</f>
        <v>CZE</v>
      </c>
      <c r="G28" s="37" t="str">
        <f>IFERROR(__xludf.DUMMYFUNCTION("""COMPUTED_VALUE"""),"SCX")</f>
        <v>SCX</v>
      </c>
      <c r="H28" s="37" t="str">
        <f>IFERROR(__xludf.DUMMYFUNCTION("""COMPUTED_VALUE"""),"B8")</f>
        <v>B8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190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191</v>
      </c>
      <c r="C9" s="21"/>
      <c r="D9" s="23" t="s">
        <v>18</v>
      </c>
      <c r="E9" s="24" t="s">
        <v>187</v>
      </c>
      <c r="F9" s="21"/>
      <c r="G9" s="23" t="s">
        <v>21</v>
      </c>
      <c r="H9" s="25" t="s">
        <v>187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55" t="s">
        <v>187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6.0</v>
      </c>
      <c r="D12" s="18" t="s">
        <v>25</v>
      </c>
      <c r="E12" s="26">
        <v>6.0</v>
      </c>
      <c r="F12" s="28"/>
      <c r="G12" s="18" t="s">
        <v>26</v>
      </c>
      <c r="H12" s="26">
        <v>6.0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35.0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)"),"")</f>
        <v/>
      </c>
      <c r="D15" s="37" t="str">
        <f>IFERROR(__xludf.DUMMYFUNCTION("""COMPUTED_VALUE"""),"WENSCHITZ")</f>
        <v>WENSCHITZ</v>
      </c>
      <c r="E15" s="37" t="str">
        <f>IFERROR(__xludf.DUMMYFUNCTION("""COMPUTED_VALUE"""),"Sophie")</f>
        <v>Sophie</v>
      </c>
      <c r="F15" s="37" t="str">
        <f>IFERROR(__xludf.DUMMYFUNCTION("""COMPUTED_VALUE"""),"AUT")</f>
        <v>AUT</v>
      </c>
      <c r="G15" s="37" t="str">
        <f>IFERROR(__xludf.DUMMYFUNCTION("""COMPUTED_VALUE"""),"ARBÖ ASKÖ RLM Wien")</f>
        <v>ARBÖ ASKÖ RLM Wien</v>
      </c>
      <c r="H15" s="37" t="str">
        <f>IFERROR(__xludf.DUMMYFUNCTION("""COMPUTED_VALUE"""),"G10")</f>
        <v>G10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12.0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)"),"")</f>
        <v/>
      </c>
      <c r="D16" s="37" t="str">
        <f>IFERROR(__xludf.DUMMYFUNCTION("""COMPUTED_VALUE"""),"ALBOVÁ")</f>
        <v>ALBOVÁ</v>
      </c>
      <c r="E16" s="37" t="str">
        <f>IFERROR(__xludf.DUMMYFUNCTION("""COMPUTED_VALUE"""),"Tezera")</f>
        <v>Tezera</v>
      </c>
      <c r="F16" s="37" t="str">
        <f>IFERROR(__xludf.DUMMYFUNCTION("""COMPUTED_VALUE"""),"CZE")</f>
        <v>CZE</v>
      </c>
      <c r="G16" s="37"/>
      <c r="H16" s="37" t="str">
        <f>IFERROR(__xludf.DUMMYFUNCTION("""COMPUTED_VALUE"""),"G10")</f>
        <v>G10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18.0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IFERROR(__xludf.DUMMYFUNCTION("""COMPUTED_VALUE"""),"ŽÁČKOVÁ")</f>
        <v>ŽÁČKOVÁ</v>
      </c>
      <c r="E17" s="37" t="str">
        <f>IFERROR(__xludf.DUMMYFUNCTION("""COMPUTED_VALUE"""),"Valentýna")</f>
        <v>Valentýna</v>
      </c>
      <c r="F17" s="37" t="str">
        <f>IFERROR(__xludf.DUMMYFUNCTION("""COMPUTED_VALUE"""),"SVK")</f>
        <v>SVK</v>
      </c>
      <c r="G17" s="37"/>
      <c r="H17" s="37" t="str">
        <f>IFERROR(__xludf.DUMMYFUNCTION("""COMPUTED_VALUE"""),"G10")</f>
        <v>G10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2.0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IFERROR(__xludf.DUMMYFUNCTION("""COMPUTED_VALUE"""),"KOVÁČOVÁ")</f>
        <v>KOVÁČOVÁ</v>
      </c>
      <c r="E18" s="37" t="str">
        <f>IFERROR(__xludf.DUMMYFUNCTION("""COMPUTED_VALUE"""),"Karolína")</f>
        <v>Karolína</v>
      </c>
      <c r="F18" s="37" t="str">
        <f>IFERROR(__xludf.DUMMYFUNCTION("""COMPUTED_VALUE"""),"SVK")</f>
        <v>SVK</v>
      </c>
      <c r="G18" s="37"/>
      <c r="H18" s="37" t="str">
        <f>IFERROR(__xludf.DUMMYFUNCTION("""COMPUTED_VALUE"""),"G10")</f>
        <v>G10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44.0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)"),"")</f>
        <v/>
      </c>
      <c r="D19" s="37" t="str">
        <f>IFERROR(__xludf.DUMMYFUNCTION("""COMPUTED_VALUE"""),"STIGLITZOVÁ")</f>
        <v>STIGLITZOVÁ</v>
      </c>
      <c r="E19" s="41" t="str">
        <f>IFERROR(__xludf.DUMMYFUNCTION("""COMPUTED_VALUE"""),"Tereza")</f>
        <v>Tereza</v>
      </c>
      <c r="F19" s="37" t="str">
        <f>IFERROR(__xludf.DUMMYFUNCTION("""COMPUTED_VALUE"""),"CZE")</f>
        <v>CZE</v>
      </c>
      <c r="G19" s="37" t="str">
        <f>IFERROR(__xludf.DUMMYFUNCTION("""COMPUTED_VALUE"""),"SCX")</f>
        <v>SCX</v>
      </c>
      <c r="H19" s="37" t="str">
        <f>IFERROR(__xludf.DUMMYFUNCTION("""COMPUTED_VALUE"""),"G10")</f>
        <v>G10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42.0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)"),"")</f>
        <v/>
      </c>
      <c r="D20" s="37" t="str">
        <f>IFERROR(__xludf.DUMMYFUNCTION("""COMPUTED_VALUE"""),"MOLOCCO")</f>
        <v>MOLOCCO</v>
      </c>
      <c r="E20" s="37" t="str">
        <f>IFERROR(__xludf.DUMMYFUNCTION("""COMPUTED_VALUE"""),"Michele")</f>
        <v>Michele</v>
      </c>
      <c r="F20" s="37" t="str">
        <f>IFERROR(__xludf.DUMMYFUNCTION("""COMPUTED_VALUE"""),"CZE")</f>
        <v>CZE</v>
      </c>
      <c r="G20" s="37" t="str">
        <f>IFERROR(__xludf.DUMMYFUNCTION("""COMPUTED_VALUE"""),"SCX")</f>
        <v>SCX</v>
      </c>
      <c r="H20" s="37" t="str">
        <f>IFERROR(__xludf.DUMMYFUNCTION("""COMPUTED_VALUE"""),"G10")</f>
        <v>G10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idden="1">
      <c r="A21" s="35">
        <v>7.0</v>
      </c>
      <c r="B21" s="38"/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/>
      <c r="E21" s="37"/>
      <c r="F21" s="37"/>
      <c r="G21" s="37"/>
      <c r="H21" s="37"/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idden="1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idden="1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idden="1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idden="1">
      <c r="A25" s="38"/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idden="1">
      <c r="A26" s="38"/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idden="1">
      <c r="A27" s="38"/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idden="1">
      <c r="A28" s="38"/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>
        <v>46109.0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 t="s">
        <v>192</v>
      </c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 t="s">
        <v>193</v>
      </c>
      <c r="C9" s="21"/>
      <c r="D9" s="23" t="s">
        <v>18</v>
      </c>
      <c r="E9" s="24" t="s">
        <v>187</v>
      </c>
      <c r="F9" s="21"/>
      <c r="G9" s="23" t="s">
        <v>21</v>
      </c>
      <c r="H9" s="25" t="s">
        <v>187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55" t="s">
        <v>187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>
        <v>14.0</v>
      </c>
      <c r="D12" s="18" t="s">
        <v>25</v>
      </c>
      <c r="E12" s="26">
        <v>14.0</v>
      </c>
      <c r="F12" s="28"/>
      <c r="G12" s="18" t="s">
        <v>26</v>
      </c>
      <c r="H12" s="26">
        <v>13.0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36">
        <v>17.0</v>
      </c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)"),"")</f>
        <v/>
      </c>
      <c r="D15" s="37" t="str">
        <f>IFERROR(__xludf.DUMMYFUNCTION("""COMPUTED_VALUE"""),"DLABAJA")</f>
        <v>DLABAJA</v>
      </c>
      <c r="E15" s="37" t="str">
        <f>IFERROR(__xludf.DUMMYFUNCTION("""COMPUTED_VALUE"""),"Vojtěch")</f>
        <v>Vojtěch</v>
      </c>
      <c r="F15" s="37" t="str">
        <f>IFERROR(__xludf.DUMMYFUNCTION("""COMPUTED_VALUE"""),"CZE")</f>
        <v>CZE</v>
      </c>
      <c r="G15" s="37" t="str">
        <f>IFERROR(__xludf.DUMMYFUNCTION("""COMPUTED_VALUE"""),"FCT Zlín")</f>
        <v>FCT Zlín</v>
      </c>
      <c r="H15" s="37" t="str">
        <f>IFERROR(__xludf.DUMMYFUNCTION("""COMPUTED_VALUE"""),"B10")</f>
        <v>B10</v>
      </c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35">
        <v>6.0</v>
      </c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)"),"")</f>
        <v/>
      </c>
      <c r="D16" s="37" t="str">
        <f>IFERROR(__xludf.DUMMYFUNCTION("""COMPUTED_VALUE"""),"NAJDEKR")</f>
        <v>NAJDEKR</v>
      </c>
      <c r="E16" s="37" t="str">
        <f>IFERROR(__xludf.DUMMYFUNCTION("""COMPUTED_VALUE"""),"Matěj")</f>
        <v>Matěj</v>
      </c>
      <c r="F16" s="37" t="str">
        <f>IFERROR(__xludf.DUMMYFUNCTION("""COMPUTED_VALUE"""),"CZE")</f>
        <v>CZE</v>
      </c>
      <c r="G16" s="37" t="str">
        <f>IFERROR(__xludf.DUMMYFUNCTION("""COMPUTED_VALUE"""),"Superior Team Jeseník")</f>
        <v>Superior Team Jeseník</v>
      </c>
      <c r="H16" s="37" t="str">
        <f>IFERROR(__xludf.DUMMYFUNCTION("""COMPUTED_VALUE"""),"B10")</f>
        <v>B10</v>
      </c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35">
        <v>1.0</v>
      </c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)"),"")</f>
        <v/>
      </c>
      <c r="D17" s="37" t="str">
        <f>IFERROR(__xludf.DUMMYFUNCTION("""COMPUTED_VALUE"""),"NOVÁK")</f>
        <v>NOVÁK</v>
      </c>
      <c r="E17" s="37" t="str">
        <f>IFERROR(__xludf.DUMMYFUNCTION("""COMPUTED_VALUE"""),"Daniel")</f>
        <v>Daniel</v>
      </c>
      <c r="F17" s="37" t="str">
        <f>IFERROR(__xludf.DUMMYFUNCTION("""COMPUTED_VALUE"""),"SVK")</f>
        <v>SVK</v>
      </c>
      <c r="G17" s="37" t="str">
        <f>IFERROR(__xludf.DUMMYFUNCTION("""COMPUTED_VALUE"""),"CK Olympik Trnava")</f>
        <v>CK Olympik Trnava</v>
      </c>
      <c r="H17" s="37" t="str">
        <f>IFERROR(__xludf.DUMMYFUNCTION("""COMPUTED_VALUE"""),"B10")</f>
        <v>B10</v>
      </c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5">
        <v>39.0</v>
      </c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)"),"")</f>
        <v/>
      </c>
      <c r="D18" s="37" t="str">
        <f>IFERROR(__xludf.DUMMYFUNCTION("""COMPUTED_VALUE"""),"PALIESEK")</f>
        <v>PALIESEK</v>
      </c>
      <c r="E18" s="37" t="str">
        <f>IFERROR(__xludf.DUMMYFUNCTION("""COMPUTED_VALUE"""),"Emil")</f>
        <v>Emil</v>
      </c>
      <c r="F18" s="37" t="str">
        <f>IFERROR(__xludf.DUMMYFUNCTION("""COMPUTED_VALUE"""),"SVK")</f>
        <v>SVK</v>
      </c>
      <c r="G18" s="37" t="str">
        <f>IFERROR(__xludf.DUMMYFUNCTION("""COMPUTED_VALUE"""),"SK EDIE TEAM VSETÍN")</f>
        <v>SK EDIE TEAM VSETÍN</v>
      </c>
      <c r="H18" s="37" t="str">
        <f>IFERROR(__xludf.DUMMYFUNCTION("""COMPUTED_VALUE"""),"B10")</f>
        <v>B10</v>
      </c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5">
        <v>15.0</v>
      </c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)"),"")</f>
        <v/>
      </c>
      <c r="D19" s="37" t="str">
        <f>IFERROR(__xludf.DUMMYFUNCTION("""COMPUTED_VALUE"""),"GAŠPIRIK")</f>
        <v>GAŠPIRIK</v>
      </c>
      <c r="E19" s="41" t="str">
        <f>IFERROR(__xludf.DUMMYFUNCTION("""COMPUTED_VALUE"""),"Samuel")</f>
        <v>Samuel</v>
      </c>
      <c r="F19" s="37" t="str">
        <f>IFERROR(__xludf.DUMMYFUNCTION("""COMPUTED_VALUE"""),"CZE")</f>
        <v>CZE</v>
      </c>
      <c r="G19" s="37"/>
      <c r="H19" s="37" t="str">
        <f>IFERROR(__xludf.DUMMYFUNCTION("""COMPUTED_VALUE"""),"B10")</f>
        <v>B10</v>
      </c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5">
        <v>5.0</v>
      </c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)"),"")</f>
        <v/>
      </c>
      <c r="D20" s="37" t="str">
        <f>IFERROR(__xludf.DUMMYFUNCTION("""COMPUTED_VALUE"""),"KOUŘIL")</f>
        <v>KOUŘIL</v>
      </c>
      <c r="E20" s="37" t="str">
        <f>IFERROR(__xludf.DUMMYFUNCTION("""COMPUTED_VALUE"""),"Adam")</f>
        <v>Adam</v>
      </c>
      <c r="F20" s="37" t="str">
        <f>IFERROR(__xludf.DUMMYFUNCTION("""COMPUTED_VALUE"""),"CZE")</f>
        <v>CZE</v>
      </c>
      <c r="G20" s="37" t="str">
        <f>IFERROR(__xludf.DUMMYFUNCTION("""COMPUTED_VALUE"""),"Superior Team Jeseník")</f>
        <v>Superior Team Jeseník</v>
      </c>
      <c r="H20" s="37" t="str">
        <f>IFERROR(__xludf.DUMMYFUNCTION("""COMPUTED_VALUE"""),"B10")</f>
        <v>B10</v>
      </c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5">
        <v>21.0</v>
      </c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)"),"")</f>
        <v/>
      </c>
      <c r="D21" s="37" t="str">
        <f>IFERROR(__xludf.DUMMYFUNCTION("""COMPUTED_VALUE"""),"ZBOROVSKÝ")</f>
        <v>ZBOROVSKÝ</v>
      </c>
      <c r="E21" s="37" t="str">
        <f>IFERROR(__xludf.DUMMYFUNCTION("""COMPUTED_VALUE"""),"Max")</f>
        <v>Max</v>
      </c>
      <c r="F21" s="37" t="str">
        <f>IFERROR(__xludf.DUMMYFUNCTION("""COMPUTED_VALUE"""),"CZE")</f>
        <v>CZE</v>
      </c>
      <c r="G21" s="37" t="str">
        <f>IFERROR(__xludf.DUMMYFUNCTION("""COMPUTED_VALUE"""),"SCX")</f>
        <v>SCX</v>
      </c>
      <c r="H21" s="37" t="str">
        <f>IFERROR(__xludf.DUMMYFUNCTION("""COMPUTED_VALUE"""),"B10")</f>
        <v>B10</v>
      </c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5">
        <v>20.0</v>
      </c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)"),"")</f>
        <v/>
      </c>
      <c r="D22" s="37" t="str">
        <f>IFERROR(__xludf.DUMMYFUNCTION("""COMPUTED_VALUE"""),"LAMOŠ")</f>
        <v>LAMOŠ</v>
      </c>
      <c r="E22" s="37" t="str">
        <f>IFERROR(__xludf.DUMMYFUNCTION("""COMPUTED_VALUE"""),"Michal")</f>
        <v>Michal</v>
      </c>
      <c r="F22" s="37" t="str">
        <f>IFERROR(__xludf.DUMMYFUNCTION("""COMPUTED_VALUE"""),"SVK")</f>
        <v>SVK</v>
      </c>
      <c r="G22" s="37" t="str">
        <f>IFERROR(__xludf.DUMMYFUNCTION("""COMPUTED_VALUE"""),"CLIMBERG SPORT TEAM")</f>
        <v>CLIMBERG SPORT TEAM</v>
      </c>
      <c r="H22" s="37" t="str">
        <f>IFERROR(__xludf.DUMMYFUNCTION("""COMPUTED_VALUE"""),"B10")</f>
        <v>B10</v>
      </c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5">
        <v>45.0</v>
      </c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)"),"")</f>
        <v/>
      </c>
      <c r="D23" s="37" t="str">
        <f>IFERROR(__xludf.DUMMYFUNCTION("""COMPUTED_VALUE"""),"ŠISLER")</f>
        <v>ŠISLER</v>
      </c>
      <c r="E23" s="37" t="str">
        <f>IFERROR(__xludf.DUMMYFUNCTION("""COMPUTED_VALUE"""),"Ondřej")</f>
        <v>Ondřej</v>
      </c>
      <c r="F23" s="37" t="str">
        <f>IFERROR(__xludf.DUMMYFUNCTION("""COMPUTED_VALUE"""),"CZE")</f>
        <v>CZE</v>
      </c>
      <c r="G23" s="37" t="str">
        <f>IFERROR(__xludf.DUMMYFUNCTION("""COMPUTED_VALUE"""),"OCA")</f>
        <v>OCA</v>
      </c>
      <c r="H23" s="37" t="str">
        <f>IFERROR(__xludf.DUMMYFUNCTION("""COMPUTED_VALUE"""),"B10")</f>
        <v>B10</v>
      </c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5">
        <v>3.0</v>
      </c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)"),"")</f>
        <v/>
      </c>
      <c r="D24" s="37" t="str">
        <f>IFERROR(__xludf.DUMMYFUNCTION("""COMPUTED_VALUE"""),"ONDRUŠKA")</f>
        <v>ONDRUŠKA</v>
      </c>
      <c r="E24" s="37" t="str">
        <f>IFERROR(__xludf.DUMMYFUNCTION("""COMPUTED_VALUE"""),"Filip")</f>
        <v>Filip</v>
      </c>
      <c r="F24" s="37" t="str">
        <f>IFERROR(__xludf.DUMMYFUNCTION("""COMPUTED_VALUE"""),"SVK")</f>
        <v>SVK</v>
      </c>
      <c r="G24" s="37" t="str">
        <f>IFERROR(__xludf.DUMMYFUNCTION("""COMPUTED_VALUE"""),"CK Olympik Trnava")</f>
        <v>CK Olympik Trnava</v>
      </c>
      <c r="H24" s="37" t="str">
        <f>IFERROR(__xludf.DUMMYFUNCTION("""COMPUTED_VALUE"""),"B10")</f>
        <v>B10</v>
      </c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5">
        <v>11.0</v>
      </c>
      <c r="B25" s="35">
        <v>10.0</v>
      </c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)"),"")</f>
        <v/>
      </c>
      <c r="D25" s="37" t="str">
        <f>IFERROR(__xludf.DUMMYFUNCTION("""COMPUTED_VALUE"""),"DRESLER")</f>
        <v>DRESLER</v>
      </c>
      <c r="E25" s="37" t="str">
        <f>IFERROR(__xludf.DUMMYFUNCTION("""COMPUTED_VALUE"""),"Mikuláš")</f>
        <v>Mikuláš</v>
      </c>
      <c r="F25" s="37" t="str">
        <f>IFERROR(__xludf.DUMMYFUNCTION("""COMPUTED_VALUE"""),"CZE")</f>
        <v>CZE</v>
      </c>
      <c r="G25" s="37" t="str">
        <f>IFERROR(__xludf.DUMMYFUNCTION("""COMPUTED_VALUE"""),"SCX")</f>
        <v>SCX</v>
      </c>
      <c r="H25" s="37" t="str">
        <f>IFERROR(__xludf.DUMMYFUNCTION("""COMPUTED_VALUE"""),"B10")</f>
        <v>B10</v>
      </c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5">
        <v>12.0</v>
      </c>
      <c r="B26" s="35">
        <v>8.0</v>
      </c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)"),"")</f>
        <v/>
      </c>
      <c r="D26" s="37" t="str">
        <f>IFERROR(__xludf.DUMMYFUNCTION("""COMPUTED_VALUE"""),"LANG")</f>
        <v>LANG</v>
      </c>
      <c r="E26" s="37" t="str">
        <f>IFERROR(__xludf.DUMMYFUNCTION("""COMPUTED_VALUE"""),"Teodor")</f>
        <v>Teodor</v>
      </c>
      <c r="F26" s="37" t="str">
        <f>IFERROR(__xludf.DUMMYFUNCTION("""COMPUTED_VALUE"""),"CZE")</f>
        <v>CZE</v>
      </c>
      <c r="G26" s="37" t="str">
        <f>IFERROR(__xludf.DUMMYFUNCTION("""COMPUTED_VALUE"""),"Tufo")</f>
        <v>Tufo</v>
      </c>
      <c r="H26" s="37" t="str">
        <f>IFERROR(__xludf.DUMMYFUNCTION("""COMPUTED_VALUE"""),"B10")</f>
        <v>B10</v>
      </c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5">
        <v>13.0</v>
      </c>
      <c r="B27" s="35">
        <v>9.0</v>
      </c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)"),"")</f>
        <v/>
      </c>
      <c r="D27" s="37" t="str">
        <f>IFERROR(__xludf.DUMMYFUNCTION("""COMPUTED_VALUE"""),"PROCHÁZKA")</f>
        <v>PROCHÁZKA</v>
      </c>
      <c r="E27" s="37" t="str">
        <f>IFERROR(__xludf.DUMMYFUNCTION("""COMPUTED_VALUE"""),"Albert")</f>
        <v>Albert</v>
      </c>
      <c r="F27" s="37" t="str">
        <f>IFERROR(__xludf.DUMMYFUNCTION("""COMPUTED_VALUE"""),"CZE")</f>
        <v>CZE</v>
      </c>
      <c r="G27" s="37" t="str">
        <f>IFERROR(__xludf.DUMMYFUNCTION("""COMPUTED_VALUE"""),"Tufo")</f>
        <v>Tufo</v>
      </c>
      <c r="H27" s="37" t="str">
        <f>IFERROR(__xludf.DUMMYFUNCTION("""COMPUTED_VALUE"""),"B10")</f>
        <v>B10</v>
      </c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5" t="s">
        <v>37</v>
      </c>
      <c r="B28" s="35">
        <v>7.0</v>
      </c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)"),"")</f>
        <v/>
      </c>
      <c r="D28" s="37" t="str">
        <f>IFERROR(__xludf.DUMMYFUNCTION("""COMPUTED_VALUE"""),"PAPEŽ")</f>
        <v>PAPEŽ</v>
      </c>
      <c r="E28" s="37" t="str">
        <f>IFERROR(__xludf.DUMMYFUNCTION("""COMPUTED_VALUE"""),"Václav")</f>
        <v>Václav</v>
      </c>
      <c r="F28" s="37" t="str">
        <f>IFERROR(__xludf.DUMMYFUNCTION("""COMPUTED_VALUE"""),"CZE")</f>
        <v>CZE</v>
      </c>
      <c r="G28" s="37" t="str">
        <f>IFERROR(__xludf.DUMMYFUNCTION("""COMPUTED_VALUE"""),"Tufo")</f>
        <v>Tufo</v>
      </c>
      <c r="H28" s="37" t="str">
        <f>IFERROR(__xludf.DUMMYFUNCTION("""COMPUTED_VALUE"""),"B10")</f>
        <v>B10</v>
      </c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idden="1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)"),"")</f>
        <v/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idden="1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)"),"")</f>
        <v/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idden="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)"),"")</f>
        <v/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idden="1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)"),"")</f>
        <v/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idden="1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)"),"")</f>
        <v/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idden="1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)"),"")</f>
        <v/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idden="1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)"),"")</f>
        <v/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)"),"")</f>
        <v/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)"),"")</f>
        <v/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)"),"")</f>
        <v/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)"),"")</f>
        <v/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)"),"")</f>
        <v/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)"),"")</f>
        <v/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)"),"")</f>
        <v/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)"),"")</f>
        <v/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)"),"")</f>
        <v/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)"),"")</f>
        <v/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)"),"")</f>
        <v/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)"),"")</f>
        <v/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)"),"")</f>
        <v/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)"),"")</f>
        <v/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)"),"")</f>
        <v/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)"),"")</f>
        <v/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)"),"")</f>
        <v/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)"),"")</f>
        <v/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)"),"")</f>
        <v/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)"),"")</f>
        <v/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)"),"")</f>
        <v/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)"),"")</f>
        <v/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)"),"")</f>
        <v/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)"),"")</f>
        <v/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)"),"")</f>
        <v/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)"),"")</f>
        <v/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)"),"")</f>
        <v/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)"),"")</f>
        <v/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)"),"")</f>
        <v/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)"),"")</f>
        <v/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)"),"")</f>
        <v/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)"),"")</f>
        <v/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)"),"")</f>
        <v/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)"),"")</f>
        <v/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)"),"")</f>
        <v/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)"),"")</f>
        <v/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)"),"")</f>
        <v/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)"),"")</f>
        <v/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)"),"")</f>
        <v/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)"),"")</f>
        <v/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)"),"")</f>
        <v/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)"),"")</f>
        <v/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)"),"")</f>
        <v/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)"),"")</f>
        <v/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)"),"")</f>
        <v/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)"),"")</f>
        <v/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)"),"")</f>
        <v/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)"),"")</f>
        <v/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)"),"")</f>
        <v/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)"),"")</f>
        <v/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)"),"")</f>
        <v/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)"),"")</f>
        <v/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)"),"")</f>
        <v/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)"),"")</f>
        <v/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)"),"")</f>
        <v/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)"),"")</f>
        <v/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)"),"")</f>
        <v/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)"),"")</f>
        <v/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)"),"")</f>
        <v/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)"),"")</f>
        <v/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)"),"")</f>
        <v/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)"),"")</f>
        <v/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)"),"")</f>
        <v/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)"),"")</f>
        <v/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)"),"")</f>
        <v/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)"),"")</f>
        <v/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)"),"")</f>
        <v/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)"),"")</f>
        <v/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)"),"")</f>
        <v/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)"),"")</f>
        <v/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)"),"")</f>
        <v/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)"),"")</f>
        <v/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)"),"")</f>
        <v/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)"),"")</f>
        <v/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)"),"")</f>
        <v/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)"),"")</f>
        <v/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)"),"")</f>
        <v/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)"),"")</f>
        <v/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)"),"")</f>
        <v/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)"),"")</f>
        <v/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)"),"")</f>
        <v/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)"),"")</f>
        <v/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)"),"")</f>
        <v/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>
        <v>1.0</v>
      </c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8.13"/>
    <col customWidth="1" min="4" max="4" width="18.5"/>
    <col customWidth="1" min="5" max="5" width="17.13"/>
    <col customWidth="1" min="6" max="6" width="11.25"/>
    <col customWidth="1" min="7" max="7" width="24.13"/>
    <col customWidth="1" min="8" max="8" width="8.63"/>
  </cols>
  <sheetData>
    <row r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8"/>
      <c r="D2" s="8"/>
      <c r="E2" s="8"/>
      <c r="F2" s="8"/>
      <c r="G2" s="8"/>
      <c r="H2" s="8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2</v>
      </c>
      <c r="B3" s="6"/>
      <c r="C3" s="6"/>
      <c r="D3" s="6"/>
      <c r="E3" s="11" t="s">
        <v>3</v>
      </c>
      <c r="F3" s="12" t="s">
        <v>4</v>
      </c>
      <c r="G3" s="11" t="s">
        <v>5</v>
      </c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6.5" customHeight="1">
      <c r="A5" s="15" t="s">
        <v>6</v>
      </c>
      <c r="B5" s="16" t="s">
        <v>7</v>
      </c>
      <c r="D5" s="14"/>
      <c r="E5" s="17" t="s">
        <v>8</v>
      </c>
      <c r="F5" s="16" t="s">
        <v>9</v>
      </c>
      <c r="G5" s="18" t="s">
        <v>10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0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9" t="s">
        <v>11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21.75" customHeight="1">
      <c r="A8" s="20"/>
      <c r="B8" s="21"/>
      <c r="C8" s="21"/>
      <c r="D8" s="20"/>
      <c r="E8" s="22"/>
      <c r="G8" s="21"/>
      <c r="H8" s="21"/>
      <c r="I8" s="21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23" t="s">
        <v>16</v>
      </c>
      <c r="B9" s="21"/>
      <c r="C9" s="21"/>
      <c r="D9" s="23" t="s">
        <v>18</v>
      </c>
      <c r="E9" s="24">
        <v>56.0</v>
      </c>
      <c r="F9" s="21"/>
      <c r="G9" s="23" t="s">
        <v>21</v>
      </c>
      <c r="H9" s="25" t="str">
        <f>IF(OR(E9="",E10=""),"",(E9/(E10*24)))</f>
        <v/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4"/>
      <c r="B10" s="26"/>
      <c r="C10" s="14"/>
      <c r="D10" s="17" t="s">
        <v>23</v>
      </c>
      <c r="E10" s="2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24</v>
      </c>
      <c r="C12" s="26"/>
      <c r="D12" s="18" t="s">
        <v>25</v>
      </c>
      <c r="E12" s="26"/>
      <c r="F12" s="28"/>
      <c r="G12" s="18" t="s">
        <v>26</v>
      </c>
      <c r="H12" s="29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30" t="s">
        <v>27</v>
      </c>
      <c r="B14" s="31" t="s">
        <v>28</v>
      </c>
      <c r="C14" s="31" t="s">
        <v>29</v>
      </c>
      <c r="D14" s="32" t="s">
        <v>30</v>
      </c>
      <c r="E14" s="32" t="s">
        <v>31</v>
      </c>
      <c r="F14" s="32" t="s">
        <v>32</v>
      </c>
      <c r="G14" s="32" t="s">
        <v>33</v>
      </c>
      <c r="H14" s="33" t="s">
        <v>34</v>
      </c>
      <c r="I14" s="34" t="s">
        <v>35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35">
        <v>1.0</v>
      </c>
      <c r="B15" s="56"/>
      <c r="C15" s="37" t="str">
        <f>IFERROR(__xludf.DUMMYFUNCTION("IFERROR(
QUERY(
IMPORTRANGE(""1TegarCDw2dx-vCuwksNSPnqrAOJXGYg_ek3_j9ooJnQ"",""List1!B:H""),
""select Col2,Col3,Col4,Col5,Col6,Col7 where Col1='""&amp;B15&amp;""' and Col7='""&amp;$B$9&amp;""'"",
0
),
""""
)"),"#REF!")</f>
        <v>#REF!</v>
      </c>
      <c r="D15" s="37"/>
      <c r="E15" s="37"/>
      <c r="F15" s="37"/>
      <c r="G15" s="37"/>
      <c r="H15" s="37"/>
      <c r="I15" s="38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35">
        <v>2.0</v>
      </c>
      <c r="B16" s="40"/>
      <c r="C16" s="37" t="str">
        <f>IFERROR(__xludf.DUMMYFUNCTION("IFERROR(
QUERY(
IMPORTRANGE(""1TegarCDw2dx-vCuwksNSPnqrAOJXGYg_ek3_j9ooJnQ"",""List1!B:H""),
""select Col2,Col3,Col4,Col5,Col6,Col7 where Col1='""&amp;B16&amp;""' and Col7='""&amp;$B$9&amp;""'"",
0
),
""""
)"),"#REF!")</f>
        <v>#REF!</v>
      </c>
      <c r="D16" s="37"/>
      <c r="E16" s="37"/>
      <c r="F16" s="37"/>
      <c r="G16" s="37"/>
      <c r="H16" s="37"/>
      <c r="I16" s="38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35">
        <v>3.0</v>
      </c>
      <c r="B17" s="40"/>
      <c r="C17" s="37" t="str">
        <f>IFERROR(__xludf.DUMMYFUNCTION("IFERROR(
QUERY(
IMPORTRANGE(""1TegarCDw2dx-vCuwksNSPnqrAOJXGYg_ek3_j9ooJnQ"",""List1!B:H""),
""select Col2,Col3,Col4,Col5,Col6,Col7 where Col1='""&amp;B17&amp;""' and Col7='""&amp;$B$9&amp;""'"",
0
),
""""
)"),"#REF!")</f>
        <v>#REF!</v>
      </c>
      <c r="D17" s="37"/>
      <c r="E17" s="37"/>
      <c r="F17" s="37"/>
      <c r="G17" s="37"/>
      <c r="H17" s="37"/>
      <c r="I17" s="3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35">
        <v>4.0</v>
      </c>
      <c r="B18" s="38"/>
      <c r="C18" s="37" t="str">
        <f>IFERROR(__xludf.DUMMYFUNCTION("IFERROR(
QUERY(
IMPORTRANGE(""1TegarCDw2dx-vCuwksNSPnqrAOJXGYg_ek3_j9ooJnQ"",""List1!B:H""),
""select Col2,Col3,Col4,Col5,Col6,Col7 where Col1='""&amp;B18&amp;""' and Col7='""&amp;$B$9&amp;""'"",
0
),
""""
)"),"#REF!")</f>
        <v>#REF!</v>
      </c>
      <c r="D18" s="37"/>
      <c r="E18" s="37"/>
      <c r="F18" s="37"/>
      <c r="G18" s="37"/>
      <c r="H18" s="37"/>
      <c r="I18" s="3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35">
        <v>5.0</v>
      </c>
      <c r="B19" s="38"/>
      <c r="C19" s="37" t="str">
        <f>IFERROR(__xludf.DUMMYFUNCTION("IFERROR(
QUERY(
IMPORTRANGE(""1TegarCDw2dx-vCuwksNSPnqrAOJXGYg_ek3_j9ooJnQ"",""List1!B:H""),
""select Col2,Col3,Col4,Col5,Col6,Col7 where Col1='""&amp;B19&amp;""' and Col7='""&amp;$B$9&amp;""'"",
0
),
""""
)"),"#REF!")</f>
        <v>#REF!</v>
      </c>
      <c r="D19" s="37"/>
      <c r="E19" s="37"/>
      <c r="F19" s="37"/>
      <c r="G19" s="37"/>
      <c r="H19" s="37"/>
      <c r="I19" s="3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35">
        <v>6.0</v>
      </c>
      <c r="B20" s="38"/>
      <c r="C20" s="37" t="str">
        <f>IFERROR(__xludf.DUMMYFUNCTION("IFERROR(
QUERY(
IMPORTRANGE(""1TegarCDw2dx-vCuwksNSPnqrAOJXGYg_ek3_j9ooJnQ"",""List1!B:H""),
""select Col2,Col3,Col4,Col5,Col6,Col7 where Col1='""&amp;B20&amp;""' and Col7='""&amp;$B$9&amp;""'"",
0
),
""""
)"),"#REF!")</f>
        <v>#REF!</v>
      </c>
      <c r="D20" s="37"/>
      <c r="E20" s="37"/>
      <c r="F20" s="37"/>
      <c r="G20" s="37"/>
      <c r="H20" s="37"/>
      <c r="I20" s="3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35">
        <v>7.0</v>
      </c>
      <c r="B21" s="38"/>
      <c r="C21" s="37" t="str">
        <f>IFERROR(__xludf.DUMMYFUNCTION("IFERROR(
QUERY(
IMPORTRANGE(""1TegarCDw2dx-vCuwksNSPnqrAOJXGYg_ek3_j9ooJnQ"",""List1!B:H""),
""select Col2,Col3,Col4,Col5,Col6,Col7 where Col1='""&amp;B21&amp;""' and Col7='""&amp;$B$9&amp;""'"",
0
),
""""
)"),"#REF!")</f>
        <v>#REF!</v>
      </c>
      <c r="D21" s="37"/>
      <c r="E21" s="41"/>
      <c r="F21" s="37"/>
      <c r="G21" s="37"/>
      <c r="H21" s="37"/>
      <c r="I21" s="3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35">
        <v>8.0</v>
      </c>
      <c r="B22" s="38"/>
      <c r="C22" s="37" t="str">
        <f>IFERROR(__xludf.DUMMYFUNCTION("IFERROR(
QUERY(
IMPORTRANGE(""1TegarCDw2dx-vCuwksNSPnqrAOJXGYg_ek3_j9ooJnQ"",""List1!B:H""),
""select Col2,Col3,Col4,Col5,Col6,Col7 where Col1='""&amp;B22&amp;""' and Col7='""&amp;$B$9&amp;""'"",
0
),
""""
)"),"#REF!")</f>
        <v>#REF!</v>
      </c>
      <c r="D22" s="37"/>
      <c r="E22" s="37"/>
      <c r="F22" s="37"/>
      <c r="G22" s="37"/>
      <c r="H22" s="37"/>
      <c r="I22" s="3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35">
        <v>9.0</v>
      </c>
      <c r="B23" s="38"/>
      <c r="C23" s="37" t="str">
        <f>IFERROR(__xludf.DUMMYFUNCTION("IFERROR(
QUERY(
IMPORTRANGE(""1TegarCDw2dx-vCuwksNSPnqrAOJXGYg_ek3_j9ooJnQ"",""List1!B:H""),
""select Col2,Col3,Col4,Col5,Col6,Col7 where Col1='""&amp;B23&amp;""' and Col7='""&amp;$B$9&amp;""'"",
0
),
""""
)"),"#REF!")</f>
        <v>#REF!</v>
      </c>
      <c r="D23" s="37"/>
      <c r="E23" s="37"/>
      <c r="F23" s="37"/>
      <c r="G23" s="37"/>
      <c r="H23" s="37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35">
        <v>10.0</v>
      </c>
      <c r="B24" s="38"/>
      <c r="C24" s="37" t="str">
        <f>IFERROR(__xludf.DUMMYFUNCTION("IFERROR(
QUERY(
IMPORTRANGE(""1TegarCDw2dx-vCuwksNSPnqrAOJXGYg_ek3_j9ooJnQ"",""List1!B:H""),
""select Col2,Col3,Col4,Col5,Col6,Col7 where Col1='""&amp;B24&amp;""' and Col7='""&amp;$B$9&amp;""'"",
0
),
""""
)"),"#REF!")</f>
        <v>#REF!</v>
      </c>
      <c r="D24" s="37"/>
      <c r="E24" s="37"/>
      <c r="F24" s="37"/>
      <c r="G24" s="37"/>
      <c r="H24" s="37"/>
      <c r="I24" s="3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38"/>
      <c r="B25" s="38"/>
      <c r="C25" s="37" t="str">
        <f>IFERROR(__xludf.DUMMYFUNCTION("IFERROR(
QUERY(
IMPORTRANGE(""1TegarCDw2dx-vCuwksNSPnqrAOJXGYg_ek3_j9ooJnQ"",""List1!B:H""),
""select Col2,Col3,Col4,Col5,Col6,Col7 where Col1='""&amp;B25&amp;""' and Col7='""&amp;$B$9&amp;""'"",
0
),
""""
)"),"#REF!")</f>
        <v>#REF!</v>
      </c>
      <c r="D25" s="37"/>
      <c r="E25" s="37"/>
      <c r="F25" s="37"/>
      <c r="G25" s="37"/>
      <c r="H25" s="37"/>
      <c r="I25" s="3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38"/>
      <c r="B26" s="38"/>
      <c r="C26" s="37" t="str">
        <f>IFERROR(__xludf.DUMMYFUNCTION("IFERROR(
QUERY(
IMPORTRANGE(""1TegarCDw2dx-vCuwksNSPnqrAOJXGYg_ek3_j9ooJnQ"",""List1!B:H""),
""select Col2,Col3,Col4,Col5,Col6,Col7 where Col1='""&amp;B26&amp;""' and Col7='""&amp;$B$9&amp;""'"",
0
),
""""
)"),"#REF!")</f>
        <v>#REF!</v>
      </c>
      <c r="D26" s="37"/>
      <c r="E26" s="37"/>
      <c r="F26" s="37"/>
      <c r="G26" s="37"/>
      <c r="H26" s="37"/>
      <c r="I26" s="3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38"/>
      <c r="B27" s="38"/>
      <c r="C27" s="37" t="str">
        <f>IFERROR(__xludf.DUMMYFUNCTION("IFERROR(
QUERY(
IMPORTRANGE(""1TegarCDw2dx-vCuwksNSPnqrAOJXGYg_ek3_j9ooJnQ"",""List1!B:H""),
""select Col2,Col3,Col4,Col5,Col6,Col7 where Col1='""&amp;B27&amp;""' and Col7='""&amp;$B$9&amp;""'"",
0
),
""""
)"),"#REF!")</f>
        <v>#REF!</v>
      </c>
      <c r="D27" s="37"/>
      <c r="E27" s="37"/>
      <c r="F27" s="37"/>
      <c r="G27" s="37"/>
      <c r="H27" s="37"/>
      <c r="I27" s="3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38"/>
      <c r="B28" s="38"/>
      <c r="C28" s="37" t="str">
        <f>IFERROR(__xludf.DUMMYFUNCTION("IFERROR(
QUERY(
IMPORTRANGE(""1TegarCDw2dx-vCuwksNSPnqrAOJXGYg_ek3_j9ooJnQ"",""List1!B:H""),
""select Col2,Col3,Col4,Col5,Col6,Col7 where Col1='""&amp;B28&amp;""' and Col7='""&amp;$B$9&amp;""'"",
0
),
""""
)"),"#REF!")</f>
        <v>#REF!</v>
      </c>
      <c r="D28" s="37"/>
      <c r="E28" s="37"/>
      <c r="F28" s="37"/>
      <c r="G28" s="37"/>
      <c r="H28" s="37"/>
      <c r="I28" s="38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38"/>
      <c r="B29" s="38"/>
      <c r="C29" s="37" t="str">
        <f>IFERROR(__xludf.DUMMYFUNCTION("IFERROR(
QUERY(
IMPORTRANGE(""1TegarCDw2dx-vCuwksNSPnqrAOJXGYg_ek3_j9ooJnQ"",""List1!B:H""),
""select Col2,Col3,Col4,Col5,Col6,Col7 where Col1='""&amp;B29&amp;""' and Col7='""&amp;$B$9&amp;""'"",
0
),
""""
)"),"#REF!")</f>
        <v>#REF!</v>
      </c>
      <c r="D29" s="37"/>
      <c r="E29" s="37"/>
      <c r="F29" s="37"/>
      <c r="G29" s="37"/>
      <c r="H29" s="37"/>
      <c r="I29" s="38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38"/>
      <c r="B30" s="38"/>
      <c r="C30" s="37" t="str">
        <f>IFERROR(__xludf.DUMMYFUNCTION("IFERROR(
QUERY(
IMPORTRANGE(""1TegarCDw2dx-vCuwksNSPnqrAOJXGYg_ek3_j9ooJnQ"",""List1!B:H""),
""select Col2,Col3,Col4,Col5,Col6,Col7 where Col1='""&amp;B30&amp;""' and Col7='""&amp;$B$9&amp;""'"",
0
),
""""
)"),"#REF!")</f>
        <v>#REF!</v>
      </c>
      <c r="D30" s="37"/>
      <c r="E30" s="37"/>
      <c r="F30" s="37"/>
      <c r="G30" s="37"/>
      <c r="H30" s="37"/>
      <c r="I30" s="38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38"/>
      <c r="B31" s="38"/>
      <c r="C31" s="37" t="str">
        <f>IFERROR(__xludf.DUMMYFUNCTION("IFERROR(
QUERY(
IMPORTRANGE(""1TegarCDw2dx-vCuwksNSPnqrAOJXGYg_ek3_j9ooJnQ"",""List1!B:H""),
""select Col2,Col3,Col4,Col5,Col6,Col7 where Col1='""&amp;B31&amp;""' and Col7='""&amp;$B$9&amp;""'"",
0
),
""""
)"),"#REF!")</f>
        <v>#REF!</v>
      </c>
      <c r="D31" s="37"/>
      <c r="E31" s="37"/>
      <c r="F31" s="37"/>
      <c r="G31" s="37"/>
      <c r="H31" s="37"/>
      <c r="I31" s="3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38"/>
      <c r="B32" s="38"/>
      <c r="C32" s="37" t="str">
        <f>IFERROR(__xludf.DUMMYFUNCTION("IFERROR(
QUERY(
IMPORTRANGE(""1TegarCDw2dx-vCuwksNSPnqrAOJXGYg_ek3_j9ooJnQ"",""List1!B:H""),
""select Col2,Col3,Col4,Col5,Col6,Col7 where Col1='""&amp;B32&amp;""' and Col7='""&amp;$B$9&amp;""'"",
0
),
""""
)"),"#REF!")</f>
        <v>#REF!</v>
      </c>
      <c r="D32" s="37"/>
      <c r="E32" s="37"/>
      <c r="F32" s="37"/>
      <c r="G32" s="37"/>
      <c r="H32" s="37"/>
      <c r="I32" s="3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38"/>
      <c r="B33" s="38"/>
      <c r="C33" s="37" t="str">
        <f>IFERROR(__xludf.DUMMYFUNCTION("IFERROR(
QUERY(
IMPORTRANGE(""1TegarCDw2dx-vCuwksNSPnqrAOJXGYg_ek3_j9ooJnQ"",""List1!B:H""),
""select Col2,Col3,Col4,Col5,Col6,Col7 where Col1='""&amp;B33&amp;""' and Col7='""&amp;$B$9&amp;""'"",
0
),
""""
)"),"#REF!")</f>
        <v>#REF!</v>
      </c>
      <c r="D33" s="37"/>
      <c r="E33" s="37"/>
      <c r="F33" s="37"/>
      <c r="G33" s="37"/>
      <c r="H33" s="37"/>
      <c r="I33" s="38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38"/>
      <c r="B34" s="38"/>
      <c r="C34" s="37" t="str">
        <f>IFERROR(__xludf.DUMMYFUNCTION("IFERROR(
QUERY(
IMPORTRANGE(""1TegarCDw2dx-vCuwksNSPnqrAOJXGYg_ek3_j9ooJnQ"",""List1!B:H""),
""select Col2,Col3,Col4,Col5,Col6,Col7 where Col1='""&amp;B34&amp;""' and Col7='""&amp;$B$9&amp;""'"",
0
),
""""
)"),"#REF!")</f>
        <v>#REF!</v>
      </c>
      <c r="D34" s="37"/>
      <c r="E34" s="37"/>
      <c r="F34" s="37"/>
      <c r="G34" s="37"/>
      <c r="H34" s="37"/>
      <c r="I34" s="38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38"/>
      <c r="B35" s="38"/>
      <c r="C35" s="37" t="str">
        <f>IFERROR(__xludf.DUMMYFUNCTION("IFERROR(
QUERY(
IMPORTRANGE(""1TegarCDw2dx-vCuwksNSPnqrAOJXGYg_ek3_j9ooJnQ"",""List1!B:H""),
""select Col2,Col3,Col4,Col5,Col6,Col7 where Col1='""&amp;B35&amp;""' and Col7='""&amp;$B$9&amp;""'"",
0
),
""""
)"),"#REF!")</f>
        <v>#REF!</v>
      </c>
      <c r="D35" s="37"/>
      <c r="E35" s="37"/>
      <c r="F35" s="37"/>
      <c r="G35" s="37"/>
      <c r="H35" s="37"/>
      <c r="I35" s="38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idden="1">
      <c r="A36" s="38"/>
      <c r="B36" s="38"/>
      <c r="C36" s="37" t="str">
        <f>IFERROR(__xludf.DUMMYFUNCTION("IFERROR(
QUERY(
IMPORTRANGE(""1TegarCDw2dx-vCuwksNSPnqrAOJXGYg_ek3_j9ooJnQ"",""List1!B:H""),
""select Col2,Col3,Col4,Col5,Col6,Col7 where Col1='""&amp;B36&amp;""' and Col7='""&amp;$B$9&amp;""'"",
0
),
""""
)"),"#REF!")</f>
        <v>#REF!</v>
      </c>
      <c r="D36" s="37"/>
      <c r="E36" s="37"/>
      <c r="F36" s="37"/>
      <c r="G36" s="37"/>
      <c r="H36" s="37"/>
      <c r="I36" s="38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idden="1">
      <c r="A37" s="38"/>
      <c r="B37" s="38"/>
      <c r="C37" s="37" t="str">
        <f>IFERROR(__xludf.DUMMYFUNCTION("IFERROR(
QUERY(
IMPORTRANGE(""1TegarCDw2dx-vCuwksNSPnqrAOJXGYg_ek3_j9ooJnQ"",""List1!B:H""),
""select Col2,Col3,Col4,Col5,Col6,Col7 where Col1='""&amp;B37&amp;""' and Col7='""&amp;$B$9&amp;""'"",
0
),
""""
)"),"#REF!")</f>
        <v>#REF!</v>
      </c>
      <c r="D37" s="37"/>
      <c r="E37" s="37"/>
      <c r="F37" s="37"/>
      <c r="G37" s="37"/>
      <c r="H37" s="37"/>
      <c r="I37" s="38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idden="1">
      <c r="A38" s="38"/>
      <c r="B38" s="38"/>
      <c r="C38" s="37" t="str">
        <f>IFERROR(__xludf.DUMMYFUNCTION("IFERROR(
QUERY(
IMPORTRANGE(""1TegarCDw2dx-vCuwksNSPnqrAOJXGYg_ek3_j9ooJnQ"",""List1!B:H""),
""select Col2,Col3,Col4,Col5,Col6,Col7 where Col1='""&amp;B38&amp;""' and Col7='""&amp;$B$9&amp;""'"",
0
),
""""
)"),"#REF!")</f>
        <v>#REF!</v>
      </c>
      <c r="D38" s="37"/>
      <c r="E38" s="37"/>
      <c r="F38" s="37"/>
      <c r="G38" s="37"/>
      <c r="H38" s="37"/>
      <c r="I38" s="38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idden="1">
      <c r="A39" s="38"/>
      <c r="B39" s="38"/>
      <c r="C39" s="37" t="str">
        <f>IFERROR(__xludf.DUMMYFUNCTION("IFERROR(
QUERY(
IMPORTRANGE(""1TegarCDw2dx-vCuwksNSPnqrAOJXGYg_ek3_j9ooJnQ"",""List1!B:H""),
""select Col2,Col3,Col4,Col5,Col6,Col7 where Col1='""&amp;B39&amp;""' and Col7='""&amp;$B$9&amp;""'"",
0
),
""""
)"),"#REF!")</f>
        <v>#REF!</v>
      </c>
      <c r="D39" s="37"/>
      <c r="E39" s="37"/>
      <c r="F39" s="37"/>
      <c r="G39" s="37"/>
      <c r="H39" s="37"/>
      <c r="I39" s="38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idden="1">
      <c r="A40" s="38"/>
      <c r="B40" s="38"/>
      <c r="C40" s="37" t="str">
        <f>IFERROR(__xludf.DUMMYFUNCTION("IFERROR(
QUERY(
IMPORTRANGE(""1TegarCDw2dx-vCuwksNSPnqrAOJXGYg_ek3_j9ooJnQ"",""List1!B:H""),
""select Col2,Col3,Col4,Col5,Col6,Col7 where Col1='""&amp;B40&amp;""' and Col7='""&amp;$B$9&amp;""'"",
0
),
""""
)"),"#REF!")</f>
        <v>#REF!</v>
      </c>
      <c r="D40" s="37"/>
      <c r="E40" s="37"/>
      <c r="F40" s="37"/>
      <c r="G40" s="37"/>
      <c r="H40" s="37"/>
      <c r="I40" s="38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idden="1">
      <c r="A41" s="38"/>
      <c r="B41" s="38"/>
      <c r="C41" s="37" t="str">
        <f>IFERROR(__xludf.DUMMYFUNCTION("IFERROR(
QUERY(
IMPORTRANGE(""1TegarCDw2dx-vCuwksNSPnqrAOJXGYg_ek3_j9ooJnQ"",""List1!B:H""),
""select Col2,Col3,Col4,Col5,Col6,Col7 where Col1='""&amp;B41&amp;""' and Col7='""&amp;$B$9&amp;""'"",
0
),
""""
)"),"#REF!")</f>
        <v>#REF!</v>
      </c>
      <c r="D41" s="37"/>
      <c r="E41" s="37"/>
      <c r="F41" s="37"/>
      <c r="G41" s="37"/>
      <c r="H41" s="37"/>
      <c r="I41" s="38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idden="1">
      <c r="A42" s="38"/>
      <c r="B42" s="38"/>
      <c r="C42" s="37" t="str">
        <f>IFERROR(__xludf.DUMMYFUNCTION("IFERROR(
QUERY(
IMPORTRANGE(""1TegarCDw2dx-vCuwksNSPnqrAOJXGYg_ek3_j9ooJnQ"",""List1!B:H""),
""select Col2,Col3,Col4,Col5,Col6,Col7 where Col1='""&amp;B42&amp;""' and Col7='""&amp;$B$9&amp;""'"",
0
),
""""
)"),"#REF!")</f>
        <v>#REF!</v>
      </c>
      <c r="D42" s="37"/>
      <c r="E42" s="37"/>
      <c r="F42" s="37"/>
      <c r="G42" s="37"/>
      <c r="H42" s="37"/>
      <c r="I42" s="38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idden="1">
      <c r="A43" s="38"/>
      <c r="B43" s="38"/>
      <c r="C43" s="37" t="str">
        <f>IFERROR(__xludf.DUMMYFUNCTION("IFERROR(
QUERY(
IMPORTRANGE(""1TegarCDw2dx-vCuwksNSPnqrAOJXGYg_ek3_j9ooJnQ"",""List1!B:H""),
""select Col2,Col3,Col4,Col5,Col6,Col7 where Col1='""&amp;B43&amp;""' and Col7='""&amp;$B$9&amp;""'"",
0
),
""""
)"),"#REF!")</f>
        <v>#REF!</v>
      </c>
      <c r="D43" s="37"/>
      <c r="E43" s="37"/>
      <c r="F43" s="37"/>
      <c r="G43" s="37"/>
      <c r="H43" s="37"/>
      <c r="I43" s="38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idden="1">
      <c r="A44" s="38"/>
      <c r="B44" s="38"/>
      <c r="C44" s="37" t="str">
        <f>IFERROR(__xludf.DUMMYFUNCTION("IFERROR(
QUERY(
IMPORTRANGE(""1TegarCDw2dx-vCuwksNSPnqrAOJXGYg_ek3_j9ooJnQ"",""List1!B:H""),
""select Col2,Col3,Col4,Col5,Col6,Col7 where Col1='""&amp;B44&amp;""' and Col7='""&amp;$B$9&amp;""'"",
0
),
""""
)"),"#REF!")</f>
        <v>#REF!</v>
      </c>
      <c r="D44" s="37"/>
      <c r="E44" s="37"/>
      <c r="F44" s="37"/>
      <c r="G44" s="37"/>
      <c r="H44" s="37"/>
      <c r="I44" s="38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idden="1">
      <c r="A45" s="38"/>
      <c r="B45" s="38"/>
      <c r="C45" s="37" t="str">
        <f>IFERROR(__xludf.DUMMYFUNCTION("IFERROR(
QUERY(
IMPORTRANGE(""1TegarCDw2dx-vCuwksNSPnqrAOJXGYg_ek3_j9ooJnQ"",""List1!B:H""),
""select Col2,Col3,Col4,Col5,Col6,Col7 where Col1='""&amp;B45&amp;""' and Col7='""&amp;$B$9&amp;""'"",
0
),
""""
)"),"#REF!")</f>
        <v>#REF!</v>
      </c>
      <c r="D45" s="37"/>
      <c r="E45" s="37"/>
      <c r="F45" s="37"/>
      <c r="G45" s="37"/>
      <c r="H45" s="37"/>
      <c r="I45" s="38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idden="1">
      <c r="A46" s="38"/>
      <c r="B46" s="38"/>
      <c r="C46" s="37" t="str">
        <f>IFERROR(__xludf.DUMMYFUNCTION("IFERROR(
QUERY(
IMPORTRANGE(""1TegarCDw2dx-vCuwksNSPnqrAOJXGYg_ek3_j9ooJnQ"",""List1!B:H""),
""select Col2,Col3,Col4,Col5,Col6,Col7 where Col1='""&amp;B46&amp;""' and Col7='""&amp;$B$9&amp;""'"",
0
),
""""
)"),"#REF!")</f>
        <v>#REF!</v>
      </c>
      <c r="D46" s="37"/>
      <c r="E46" s="37"/>
      <c r="F46" s="37"/>
      <c r="G46" s="37"/>
      <c r="H46" s="37"/>
      <c r="I46" s="38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idden="1">
      <c r="A47" s="38"/>
      <c r="B47" s="38"/>
      <c r="C47" s="37" t="str">
        <f>IFERROR(__xludf.DUMMYFUNCTION("IFERROR(
QUERY(
IMPORTRANGE(""1TegarCDw2dx-vCuwksNSPnqrAOJXGYg_ek3_j9ooJnQ"",""List1!B:H""),
""select Col2,Col3,Col4,Col5,Col6,Col7 where Col1='""&amp;B47&amp;""' and Col7='""&amp;$B$9&amp;""'"",
0
),
""""
)"),"#REF!")</f>
        <v>#REF!</v>
      </c>
      <c r="D47" s="37"/>
      <c r="E47" s="37"/>
      <c r="F47" s="37"/>
      <c r="G47" s="37"/>
      <c r="H47" s="37"/>
      <c r="I47" s="38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idden="1">
      <c r="A48" s="38"/>
      <c r="B48" s="38"/>
      <c r="C48" s="37" t="str">
        <f>IFERROR(__xludf.DUMMYFUNCTION("IFERROR(
QUERY(
IMPORTRANGE(""1TegarCDw2dx-vCuwksNSPnqrAOJXGYg_ek3_j9ooJnQ"",""List1!B:H""),
""select Col2,Col3,Col4,Col5,Col6,Col7 where Col1='""&amp;B48&amp;""' and Col7='""&amp;$B$9&amp;""'"",
0
),
""""
)"),"#REF!")</f>
        <v>#REF!</v>
      </c>
      <c r="D48" s="37"/>
      <c r="E48" s="37"/>
      <c r="F48" s="37"/>
      <c r="G48" s="37"/>
      <c r="H48" s="37"/>
      <c r="I48" s="38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idden="1">
      <c r="A49" s="38"/>
      <c r="B49" s="38"/>
      <c r="C49" s="37" t="str">
        <f>IFERROR(__xludf.DUMMYFUNCTION("IFERROR(
QUERY(
IMPORTRANGE(""1TegarCDw2dx-vCuwksNSPnqrAOJXGYg_ek3_j9ooJnQ"",""List1!B:H""),
""select Col2,Col3,Col4,Col5,Col6,Col7 where Col1='""&amp;B49&amp;""' and Col7='""&amp;$B$9&amp;""'"",
0
),
""""
)"),"#REF!")</f>
        <v>#REF!</v>
      </c>
      <c r="D49" s="37"/>
      <c r="E49" s="37"/>
      <c r="F49" s="37"/>
      <c r="G49" s="37"/>
      <c r="H49" s="37"/>
      <c r="I49" s="38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idden="1">
      <c r="A50" s="38"/>
      <c r="B50" s="38"/>
      <c r="C50" s="37" t="str">
        <f>IFERROR(__xludf.DUMMYFUNCTION("IFERROR(
QUERY(
IMPORTRANGE(""1TegarCDw2dx-vCuwksNSPnqrAOJXGYg_ek3_j9ooJnQ"",""List1!B:H""),
""select Col2,Col3,Col4,Col5,Col6,Col7 where Col1='""&amp;B50&amp;""' and Col7='""&amp;$B$9&amp;""'"",
0
),
""""
)"),"#REF!")</f>
        <v>#REF!</v>
      </c>
      <c r="D50" s="37"/>
      <c r="E50" s="37"/>
      <c r="F50" s="37"/>
      <c r="G50" s="37"/>
      <c r="H50" s="37"/>
      <c r="I50" s="38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idden="1">
      <c r="A51" s="38"/>
      <c r="B51" s="38"/>
      <c r="C51" s="37" t="str">
        <f>IFERROR(__xludf.DUMMYFUNCTION("IFERROR(
QUERY(
IMPORTRANGE(""1TegarCDw2dx-vCuwksNSPnqrAOJXGYg_ek3_j9ooJnQ"",""List1!B:H""),
""select Col2,Col3,Col4,Col5,Col6,Col7 where Col1='""&amp;B51&amp;""' and Col7='""&amp;$B$9&amp;""'"",
0
),
""""
)"),"#REF!")</f>
        <v>#REF!</v>
      </c>
      <c r="D51" s="37"/>
      <c r="E51" s="37"/>
      <c r="F51" s="37"/>
      <c r="G51" s="37"/>
      <c r="H51" s="37"/>
      <c r="I51" s="38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idden="1">
      <c r="A52" s="43"/>
      <c r="B52" s="43"/>
      <c r="C52" s="37" t="str">
        <f>IFERROR(__xludf.DUMMYFUNCTION("IFERROR(
QUERY(
IMPORTRANGE(""1TegarCDw2dx-vCuwksNSPnqrAOJXGYg_ek3_j9ooJnQ"",""List1!B:H""),
""select Col2,Col3,Col4,Col5,Col6,Col7 where Col1='""&amp;B52&amp;""' and Col7='""&amp;$B$9&amp;""'"",
0
),
""""
)"),"#REF!")</f>
        <v>#REF!</v>
      </c>
      <c r="D52" s="44"/>
      <c r="E52" s="44"/>
      <c r="F52" s="44"/>
      <c r="G52" s="44"/>
      <c r="H52" s="44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idden="1">
      <c r="A53" s="43"/>
      <c r="B53" s="43"/>
      <c r="C53" s="37" t="str">
        <f>IFERROR(__xludf.DUMMYFUNCTION("IFERROR(
QUERY(
IMPORTRANGE(""1TegarCDw2dx-vCuwksNSPnqrAOJXGYg_ek3_j9ooJnQ"",""List1!B:H""),
""select Col2,Col3,Col4,Col5,Col6,Col7 where Col1='""&amp;B53&amp;""' and Col7='""&amp;$B$9&amp;""'"",
0
),
""""
)"),"#REF!")</f>
        <v>#REF!</v>
      </c>
      <c r="D53" s="44"/>
      <c r="E53" s="44"/>
      <c r="F53" s="44"/>
      <c r="G53" s="44"/>
      <c r="H53" s="44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idden="1">
      <c r="A54" s="43"/>
      <c r="B54" s="43"/>
      <c r="C54" s="37" t="str">
        <f>IFERROR(__xludf.DUMMYFUNCTION("IFERROR(
QUERY(
IMPORTRANGE(""1TegarCDw2dx-vCuwksNSPnqrAOJXGYg_ek3_j9ooJnQ"",""List1!B:H""),
""select Col2,Col3,Col4,Col5,Col6,Col7 where Col1='""&amp;B54&amp;""' and Col7='""&amp;$B$9&amp;""'"",
0
),
""""
)"),"#REF!")</f>
        <v>#REF!</v>
      </c>
      <c r="D54" s="44"/>
      <c r="E54" s="44"/>
      <c r="F54" s="44"/>
      <c r="G54" s="44"/>
      <c r="H54" s="44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idden="1">
      <c r="A55" s="43"/>
      <c r="B55" s="43"/>
      <c r="C55" s="37" t="str">
        <f>IFERROR(__xludf.DUMMYFUNCTION("IFERROR(
QUERY(
IMPORTRANGE(""1TegarCDw2dx-vCuwksNSPnqrAOJXGYg_ek3_j9ooJnQ"",""List1!B:H""),
""select Col2,Col3,Col4,Col5,Col6,Col7 where Col1='""&amp;B55&amp;""' and Col7='""&amp;$B$9&amp;""'"",
0
),
""""
)"),"#REF!")</f>
        <v>#REF!</v>
      </c>
      <c r="D55" s="44"/>
      <c r="E55" s="44"/>
      <c r="F55" s="44"/>
      <c r="G55" s="44"/>
      <c r="H55" s="44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idden="1">
      <c r="A56" s="43"/>
      <c r="B56" s="43"/>
      <c r="C56" s="37" t="str">
        <f>IFERROR(__xludf.DUMMYFUNCTION("IFERROR(
QUERY(
IMPORTRANGE(""1TegarCDw2dx-vCuwksNSPnqrAOJXGYg_ek3_j9ooJnQ"",""List1!B:H""),
""select Col2,Col3,Col4,Col5,Col6,Col7 where Col1='""&amp;B56&amp;""' and Col7='""&amp;$B$9&amp;""'"",
0
),
""""
)"),"#REF!")</f>
        <v>#REF!</v>
      </c>
      <c r="D56" s="44"/>
      <c r="E56" s="44"/>
      <c r="F56" s="44"/>
      <c r="G56" s="44"/>
      <c r="H56" s="44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idden="1">
      <c r="A57" s="43"/>
      <c r="B57" s="43"/>
      <c r="C57" s="37" t="str">
        <f>IFERROR(__xludf.DUMMYFUNCTION("IFERROR(
QUERY(
IMPORTRANGE(""1TegarCDw2dx-vCuwksNSPnqrAOJXGYg_ek3_j9ooJnQ"",""List1!B:H""),
""select Col2,Col3,Col4,Col5,Col6,Col7 where Col1='""&amp;B57&amp;""' and Col7='""&amp;$B$9&amp;""'"",
0
),
""""
)"),"#REF!")</f>
        <v>#REF!</v>
      </c>
      <c r="D57" s="44"/>
      <c r="E57" s="44"/>
      <c r="F57" s="44"/>
      <c r="G57" s="44"/>
      <c r="H57" s="44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idden="1">
      <c r="A58" s="43"/>
      <c r="B58" s="43"/>
      <c r="C58" s="37" t="str">
        <f>IFERROR(__xludf.DUMMYFUNCTION("IFERROR(
QUERY(
IMPORTRANGE(""1TegarCDw2dx-vCuwksNSPnqrAOJXGYg_ek3_j9ooJnQ"",""List1!B:H""),
""select Col2,Col3,Col4,Col5,Col6,Col7 where Col1='""&amp;B58&amp;""' and Col7='""&amp;$B$9&amp;""'"",
0
),
""""
)"),"#REF!")</f>
        <v>#REF!</v>
      </c>
      <c r="D58" s="44"/>
      <c r="E58" s="44"/>
      <c r="F58" s="44"/>
      <c r="G58" s="44"/>
      <c r="H58" s="44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idden="1">
      <c r="A59" s="43"/>
      <c r="B59" s="43"/>
      <c r="C59" s="37" t="str">
        <f>IFERROR(__xludf.DUMMYFUNCTION("IFERROR(
QUERY(
IMPORTRANGE(""1TegarCDw2dx-vCuwksNSPnqrAOJXGYg_ek3_j9ooJnQ"",""List1!B:H""),
""select Col2,Col3,Col4,Col5,Col6,Col7 where Col1='""&amp;B59&amp;""' and Col7='""&amp;$B$9&amp;""'"",
0
),
""""
)"),"#REF!")</f>
        <v>#REF!</v>
      </c>
      <c r="D59" s="44"/>
      <c r="E59" s="44"/>
      <c r="F59" s="44"/>
      <c r="G59" s="44"/>
      <c r="H59" s="44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idden="1">
      <c r="A60" s="43"/>
      <c r="B60" s="43"/>
      <c r="C60" s="37" t="str">
        <f>IFERROR(__xludf.DUMMYFUNCTION("IFERROR(
QUERY(
IMPORTRANGE(""1TegarCDw2dx-vCuwksNSPnqrAOJXGYg_ek3_j9ooJnQ"",""List1!B:H""),
""select Col2,Col3,Col4,Col5,Col6,Col7 where Col1='""&amp;B60&amp;""' and Col7='""&amp;$B$9&amp;""'"",
0
),
""""
)"),"#REF!")</f>
        <v>#REF!</v>
      </c>
      <c r="D60" s="44"/>
      <c r="E60" s="44"/>
      <c r="F60" s="44"/>
      <c r="G60" s="44"/>
      <c r="H60" s="44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idden="1">
      <c r="A61" s="43"/>
      <c r="B61" s="43"/>
      <c r="C61" s="37" t="str">
        <f>IFERROR(__xludf.DUMMYFUNCTION("IFERROR(
QUERY(
IMPORTRANGE(""1TegarCDw2dx-vCuwksNSPnqrAOJXGYg_ek3_j9ooJnQ"",""List1!B:H""),
""select Col2,Col3,Col4,Col5,Col6,Col7 where Col1='""&amp;B61&amp;""' and Col7='""&amp;$B$9&amp;""'"",
0
),
""""
)"),"#REF!")</f>
        <v>#REF!</v>
      </c>
      <c r="D61" s="44"/>
      <c r="E61" s="44"/>
      <c r="F61" s="44"/>
      <c r="G61" s="44"/>
      <c r="H61" s="44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idden="1">
      <c r="A62" s="43"/>
      <c r="B62" s="43"/>
      <c r="C62" s="37" t="str">
        <f>IFERROR(__xludf.DUMMYFUNCTION("IFERROR(
QUERY(
IMPORTRANGE(""1TegarCDw2dx-vCuwksNSPnqrAOJXGYg_ek3_j9ooJnQ"",""List1!B:H""),
""select Col2,Col3,Col4,Col5,Col6,Col7 where Col1='""&amp;B62&amp;""' and Col7='""&amp;$B$9&amp;""'"",
0
),
""""
)"),"#REF!")</f>
        <v>#REF!</v>
      </c>
      <c r="D62" s="44"/>
      <c r="E62" s="44"/>
      <c r="F62" s="44"/>
      <c r="G62" s="44"/>
      <c r="H62" s="44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idden="1">
      <c r="A63" s="43"/>
      <c r="B63" s="43"/>
      <c r="C63" s="37" t="str">
        <f>IFERROR(__xludf.DUMMYFUNCTION("IFERROR(
QUERY(
IMPORTRANGE(""1TegarCDw2dx-vCuwksNSPnqrAOJXGYg_ek3_j9ooJnQ"",""List1!B:H""),
""select Col2,Col3,Col4,Col5,Col6,Col7 where Col1='""&amp;B63&amp;""' and Col7='""&amp;$B$9&amp;""'"",
0
),
""""
)"),"#REF!")</f>
        <v>#REF!</v>
      </c>
      <c r="D63" s="44"/>
      <c r="E63" s="44"/>
      <c r="F63" s="44"/>
      <c r="G63" s="44"/>
      <c r="H63" s="44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idden="1">
      <c r="A64" s="43"/>
      <c r="B64" s="43"/>
      <c r="C64" s="37" t="str">
        <f>IFERROR(__xludf.DUMMYFUNCTION("IFERROR(
QUERY(
IMPORTRANGE(""1TegarCDw2dx-vCuwksNSPnqrAOJXGYg_ek3_j9ooJnQ"",""List1!B:H""),
""select Col2,Col3,Col4,Col5,Col6,Col7 where Col1='""&amp;B64&amp;""' and Col7='""&amp;$B$9&amp;""'"",
0
),
""""
)"),"#REF!")</f>
        <v>#REF!</v>
      </c>
      <c r="D64" s="44"/>
      <c r="E64" s="44"/>
      <c r="F64" s="44"/>
      <c r="G64" s="44"/>
      <c r="H64" s="44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idden="1">
      <c r="A65" s="43"/>
      <c r="B65" s="43"/>
      <c r="C65" s="37" t="str">
        <f>IFERROR(__xludf.DUMMYFUNCTION("IFERROR(
QUERY(
IMPORTRANGE(""1TegarCDw2dx-vCuwksNSPnqrAOJXGYg_ek3_j9ooJnQ"",""List1!B:H""),
""select Col2,Col3,Col4,Col5,Col6,Col7 where Col1='""&amp;B65&amp;""' and Col7='""&amp;$B$9&amp;""'"",
0
),
""""
)"),"#REF!")</f>
        <v>#REF!</v>
      </c>
      <c r="D65" s="44"/>
      <c r="E65" s="44"/>
      <c r="F65" s="44"/>
      <c r="G65" s="44"/>
      <c r="H65" s="44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idden="1">
      <c r="A66" s="43"/>
      <c r="B66" s="43"/>
      <c r="C66" s="37" t="str">
        <f>IFERROR(__xludf.DUMMYFUNCTION("IFERROR(
QUERY(
IMPORTRANGE(""1TegarCDw2dx-vCuwksNSPnqrAOJXGYg_ek3_j9ooJnQ"",""List1!B:H""),
""select Col2,Col3,Col4,Col5,Col6,Col7 where Col1='""&amp;B66&amp;""' and Col7='""&amp;$B$9&amp;""'"",
0
),
""""
)"),"#REF!")</f>
        <v>#REF!</v>
      </c>
      <c r="D66" s="44"/>
      <c r="E66" s="44"/>
      <c r="F66" s="44"/>
      <c r="G66" s="44"/>
      <c r="H66" s="44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idden="1">
      <c r="A67" s="43"/>
      <c r="B67" s="43"/>
      <c r="C67" s="37" t="str">
        <f>IFERROR(__xludf.DUMMYFUNCTION("IFERROR(
QUERY(
IMPORTRANGE(""1TegarCDw2dx-vCuwksNSPnqrAOJXGYg_ek3_j9ooJnQ"",""List1!B:H""),
""select Col2,Col3,Col4,Col5,Col6,Col7 where Col1='""&amp;B67&amp;""' and Col7='""&amp;$B$9&amp;""'"",
0
),
""""
)"),"#REF!")</f>
        <v>#REF!</v>
      </c>
      <c r="D67" s="44"/>
      <c r="E67" s="44"/>
      <c r="F67" s="44"/>
      <c r="G67" s="44"/>
      <c r="H67" s="44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idden="1">
      <c r="A68" s="43"/>
      <c r="B68" s="43"/>
      <c r="C68" s="37" t="str">
        <f>IFERROR(__xludf.DUMMYFUNCTION("IFERROR(
QUERY(
IMPORTRANGE(""1TegarCDw2dx-vCuwksNSPnqrAOJXGYg_ek3_j9ooJnQ"",""List1!B:H""),
""select Col2,Col3,Col4,Col5,Col6,Col7 where Col1='""&amp;B68&amp;""' and Col7='""&amp;$B$9&amp;""'"",
0
),
""""
)"),"#REF!")</f>
        <v>#REF!</v>
      </c>
      <c r="D68" s="44"/>
      <c r="E68" s="44"/>
      <c r="F68" s="44"/>
      <c r="G68" s="44"/>
      <c r="H68" s="44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idden="1">
      <c r="A69" s="43"/>
      <c r="B69" s="43"/>
      <c r="C69" s="37" t="str">
        <f>IFERROR(__xludf.DUMMYFUNCTION("IFERROR(
QUERY(
IMPORTRANGE(""1TegarCDw2dx-vCuwksNSPnqrAOJXGYg_ek3_j9ooJnQ"",""List1!B:H""),
""select Col2,Col3,Col4,Col5,Col6,Col7 where Col1='""&amp;B69&amp;""' and Col7='""&amp;$B$9&amp;""'"",
0
),
""""
)"),"#REF!")</f>
        <v>#REF!</v>
      </c>
      <c r="D69" s="44"/>
      <c r="E69" s="44"/>
      <c r="F69" s="44"/>
      <c r="G69" s="44"/>
      <c r="H69" s="44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idden="1">
      <c r="A70" s="43"/>
      <c r="B70" s="43"/>
      <c r="C70" s="37" t="str">
        <f>IFERROR(__xludf.DUMMYFUNCTION("IFERROR(
QUERY(
IMPORTRANGE(""1TegarCDw2dx-vCuwksNSPnqrAOJXGYg_ek3_j9ooJnQ"",""List1!B:H""),
""select Col2,Col3,Col4,Col5,Col6,Col7 where Col1='""&amp;B70&amp;""' and Col7='""&amp;$B$9&amp;""'"",
0
),
""""
)"),"#REF!")</f>
        <v>#REF!</v>
      </c>
      <c r="D70" s="44"/>
      <c r="E70" s="44"/>
      <c r="F70" s="44"/>
      <c r="G70" s="44"/>
      <c r="H70" s="44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idden="1">
      <c r="A71" s="43"/>
      <c r="B71" s="43"/>
      <c r="C71" s="37" t="str">
        <f>IFERROR(__xludf.DUMMYFUNCTION("IFERROR(
QUERY(
IMPORTRANGE(""1TegarCDw2dx-vCuwksNSPnqrAOJXGYg_ek3_j9ooJnQ"",""List1!B:H""),
""select Col2,Col3,Col4,Col5,Col6,Col7 where Col1='""&amp;B71&amp;""' and Col7='""&amp;$B$9&amp;""'"",
0
),
""""
)"),"#REF!")</f>
        <v>#REF!</v>
      </c>
      <c r="D71" s="44"/>
      <c r="E71" s="44"/>
      <c r="F71" s="44"/>
      <c r="G71" s="44"/>
      <c r="H71" s="44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idden="1">
      <c r="A72" s="43"/>
      <c r="B72" s="43"/>
      <c r="C72" s="37" t="str">
        <f>IFERROR(__xludf.DUMMYFUNCTION("IFERROR(
QUERY(
IMPORTRANGE(""1TegarCDw2dx-vCuwksNSPnqrAOJXGYg_ek3_j9ooJnQ"",""List1!B:H""),
""select Col2,Col3,Col4,Col5,Col6,Col7 where Col1='""&amp;B72&amp;""' and Col7='""&amp;$B$9&amp;""'"",
0
),
""""
)"),"#REF!")</f>
        <v>#REF!</v>
      </c>
      <c r="D72" s="44"/>
      <c r="E72" s="44"/>
      <c r="F72" s="44"/>
      <c r="G72" s="44"/>
      <c r="H72" s="44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idden="1">
      <c r="A73" s="43"/>
      <c r="B73" s="43"/>
      <c r="C73" s="37" t="str">
        <f>IFERROR(__xludf.DUMMYFUNCTION("IFERROR(
QUERY(
IMPORTRANGE(""1TegarCDw2dx-vCuwksNSPnqrAOJXGYg_ek3_j9ooJnQ"",""List1!B:H""),
""select Col2,Col3,Col4,Col5,Col6,Col7 where Col1='""&amp;B73&amp;""' and Col7='""&amp;$B$9&amp;""'"",
0
),
""""
)"),"#REF!")</f>
        <v>#REF!</v>
      </c>
      <c r="D73" s="44"/>
      <c r="E73" s="44"/>
      <c r="F73" s="44"/>
      <c r="G73" s="44"/>
      <c r="H73" s="44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idden="1">
      <c r="A74" s="43"/>
      <c r="B74" s="43"/>
      <c r="C74" s="37" t="str">
        <f>IFERROR(__xludf.DUMMYFUNCTION("IFERROR(
QUERY(
IMPORTRANGE(""1TegarCDw2dx-vCuwksNSPnqrAOJXGYg_ek3_j9ooJnQ"",""List1!B:H""),
""select Col2,Col3,Col4,Col5,Col6,Col7 where Col1='""&amp;B74&amp;""' and Col7='""&amp;$B$9&amp;""'"",
0
),
""""
)"),"#REF!")</f>
        <v>#REF!</v>
      </c>
      <c r="D74" s="44"/>
      <c r="E74" s="44"/>
      <c r="F74" s="44"/>
      <c r="G74" s="44"/>
      <c r="H74" s="44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idden="1">
      <c r="A75" s="43"/>
      <c r="B75" s="43"/>
      <c r="C75" s="37" t="str">
        <f>IFERROR(__xludf.DUMMYFUNCTION("IFERROR(
QUERY(
IMPORTRANGE(""1TegarCDw2dx-vCuwksNSPnqrAOJXGYg_ek3_j9ooJnQ"",""List1!B:H""),
""select Col2,Col3,Col4,Col5,Col6,Col7 where Col1='""&amp;B75&amp;""' and Col7='""&amp;$B$9&amp;""'"",
0
),
""""
)"),"#REF!")</f>
        <v>#REF!</v>
      </c>
      <c r="D75" s="44"/>
      <c r="E75" s="44"/>
      <c r="F75" s="44"/>
      <c r="G75" s="44"/>
      <c r="H75" s="44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idden="1">
      <c r="A76" s="43"/>
      <c r="B76" s="43"/>
      <c r="C76" s="37" t="str">
        <f>IFERROR(__xludf.DUMMYFUNCTION("IFERROR(
QUERY(
IMPORTRANGE(""1TegarCDw2dx-vCuwksNSPnqrAOJXGYg_ek3_j9ooJnQ"",""List1!B:H""),
""select Col2,Col3,Col4,Col5,Col6,Col7 where Col1='""&amp;B76&amp;""' and Col7='""&amp;$B$9&amp;""'"",
0
),
""""
)"),"#REF!")</f>
        <v>#REF!</v>
      </c>
      <c r="D76" s="44"/>
      <c r="E76" s="44"/>
      <c r="F76" s="44"/>
      <c r="G76" s="44"/>
      <c r="H76" s="44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idden="1">
      <c r="A77" s="43"/>
      <c r="B77" s="43"/>
      <c r="C77" s="37" t="str">
        <f>IFERROR(__xludf.DUMMYFUNCTION("IFERROR(
QUERY(
IMPORTRANGE(""1TegarCDw2dx-vCuwksNSPnqrAOJXGYg_ek3_j9ooJnQ"",""List1!B:H""),
""select Col2,Col3,Col4,Col5,Col6,Col7 where Col1='""&amp;B77&amp;""' and Col7='""&amp;$B$9&amp;""'"",
0
),
""""
)"),"#REF!")</f>
        <v>#REF!</v>
      </c>
      <c r="D77" s="44"/>
      <c r="E77" s="44"/>
      <c r="F77" s="44"/>
      <c r="G77" s="44"/>
      <c r="H77" s="44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idden="1">
      <c r="A78" s="43"/>
      <c r="B78" s="43"/>
      <c r="C78" s="37" t="str">
        <f>IFERROR(__xludf.DUMMYFUNCTION("IFERROR(
QUERY(
IMPORTRANGE(""1TegarCDw2dx-vCuwksNSPnqrAOJXGYg_ek3_j9ooJnQ"",""List1!B:H""),
""select Col2,Col3,Col4,Col5,Col6,Col7 where Col1='""&amp;B78&amp;""' and Col7='""&amp;$B$9&amp;""'"",
0
),
""""
)"),"#REF!")</f>
        <v>#REF!</v>
      </c>
      <c r="D78" s="44"/>
      <c r="E78" s="44"/>
      <c r="F78" s="44"/>
      <c r="G78" s="44"/>
      <c r="H78" s="44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idden="1">
      <c r="A79" s="43"/>
      <c r="B79" s="43"/>
      <c r="C79" s="37" t="str">
        <f>IFERROR(__xludf.DUMMYFUNCTION("IFERROR(
QUERY(
IMPORTRANGE(""1TegarCDw2dx-vCuwksNSPnqrAOJXGYg_ek3_j9ooJnQ"",""List1!B:H""),
""select Col2,Col3,Col4,Col5,Col6,Col7 where Col1='""&amp;B79&amp;""' and Col7='""&amp;$B$9&amp;""'"",
0
),
""""
)"),"#REF!")</f>
        <v>#REF!</v>
      </c>
      <c r="D79" s="44"/>
      <c r="E79" s="44"/>
      <c r="F79" s="44"/>
      <c r="G79" s="44"/>
      <c r="H79" s="44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idden="1">
      <c r="A80" s="43"/>
      <c r="B80" s="43"/>
      <c r="C80" s="37" t="str">
        <f>IFERROR(__xludf.DUMMYFUNCTION("IFERROR(
QUERY(
IMPORTRANGE(""1TegarCDw2dx-vCuwksNSPnqrAOJXGYg_ek3_j9ooJnQ"",""List1!B:H""),
""select Col2,Col3,Col4,Col5,Col6,Col7 where Col1='""&amp;B80&amp;""' and Col7='""&amp;$B$9&amp;""'"",
0
),
""""
)"),"#REF!")</f>
        <v>#REF!</v>
      </c>
      <c r="D80" s="44"/>
      <c r="E80" s="44"/>
      <c r="F80" s="44"/>
      <c r="G80" s="44"/>
      <c r="H80" s="44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idden="1">
      <c r="A81" s="43"/>
      <c r="B81" s="43"/>
      <c r="C81" s="37" t="str">
        <f>IFERROR(__xludf.DUMMYFUNCTION("IFERROR(
QUERY(
IMPORTRANGE(""1TegarCDw2dx-vCuwksNSPnqrAOJXGYg_ek3_j9ooJnQ"",""List1!B:H""),
""select Col2,Col3,Col4,Col5,Col6,Col7 where Col1='""&amp;B81&amp;""' and Col7='""&amp;$B$9&amp;""'"",
0
),
""""
)"),"#REF!")</f>
        <v>#REF!</v>
      </c>
      <c r="D81" s="44"/>
      <c r="E81" s="44"/>
      <c r="F81" s="44"/>
      <c r="G81" s="44"/>
      <c r="H81" s="44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idden="1">
      <c r="A82" s="43"/>
      <c r="B82" s="43"/>
      <c r="C82" s="37" t="str">
        <f>IFERROR(__xludf.DUMMYFUNCTION("IFERROR(
QUERY(
IMPORTRANGE(""1TegarCDw2dx-vCuwksNSPnqrAOJXGYg_ek3_j9ooJnQ"",""List1!B:H""),
""select Col2,Col3,Col4,Col5,Col6,Col7 where Col1='""&amp;B82&amp;""' and Col7='""&amp;$B$9&amp;""'"",
0
),
""""
)"),"#REF!")</f>
        <v>#REF!</v>
      </c>
      <c r="D82" s="44"/>
      <c r="E82" s="44"/>
      <c r="F82" s="44"/>
      <c r="G82" s="44"/>
      <c r="H82" s="44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idden="1">
      <c r="A83" s="43"/>
      <c r="B83" s="43"/>
      <c r="C83" s="37" t="str">
        <f>IFERROR(__xludf.DUMMYFUNCTION("IFERROR(
QUERY(
IMPORTRANGE(""1TegarCDw2dx-vCuwksNSPnqrAOJXGYg_ek3_j9ooJnQ"",""List1!B:H""),
""select Col2,Col3,Col4,Col5,Col6,Col7 where Col1='""&amp;B83&amp;""' and Col7='""&amp;$B$9&amp;""'"",
0
),
""""
)"),"#REF!")</f>
        <v>#REF!</v>
      </c>
      <c r="D83" s="44"/>
      <c r="E83" s="44"/>
      <c r="F83" s="44"/>
      <c r="G83" s="44"/>
      <c r="H83" s="44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idden="1">
      <c r="A84" s="43"/>
      <c r="B84" s="43"/>
      <c r="C84" s="37" t="str">
        <f>IFERROR(__xludf.DUMMYFUNCTION("IFERROR(
QUERY(
IMPORTRANGE(""1TegarCDw2dx-vCuwksNSPnqrAOJXGYg_ek3_j9ooJnQ"",""List1!B:H""),
""select Col2,Col3,Col4,Col5,Col6,Col7 where Col1='""&amp;B84&amp;""' and Col7='""&amp;$B$9&amp;""'"",
0
),
""""
)"),"#REF!")</f>
        <v>#REF!</v>
      </c>
      <c r="D84" s="44"/>
      <c r="E84" s="44"/>
      <c r="F84" s="44"/>
      <c r="G84" s="44"/>
      <c r="H84" s="44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idden="1">
      <c r="A85" s="43"/>
      <c r="B85" s="43"/>
      <c r="C85" s="37" t="str">
        <f>IFERROR(__xludf.DUMMYFUNCTION("IFERROR(
QUERY(
IMPORTRANGE(""1TegarCDw2dx-vCuwksNSPnqrAOJXGYg_ek3_j9ooJnQ"",""List1!B:H""),
""select Col2,Col3,Col4,Col5,Col6,Col7 where Col1='""&amp;B85&amp;""' and Col7='""&amp;$B$9&amp;""'"",
0
),
""""
)"),"#REF!")</f>
        <v>#REF!</v>
      </c>
      <c r="D85" s="44"/>
      <c r="E85" s="44"/>
      <c r="F85" s="44"/>
      <c r="G85" s="44"/>
      <c r="H85" s="44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idden="1">
      <c r="A86" s="43"/>
      <c r="B86" s="43"/>
      <c r="C86" s="37" t="str">
        <f>IFERROR(__xludf.DUMMYFUNCTION("IFERROR(
QUERY(
IMPORTRANGE(""1TegarCDw2dx-vCuwksNSPnqrAOJXGYg_ek3_j9ooJnQ"",""List1!B:H""),
""select Col2,Col3,Col4,Col5,Col6,Col7 where Col1='""&amp;B86&amp;""' and Col7='""&amp;$B$9&amp;""'"",
0
),
""""
)"),"#REF!")</f>
        <v>#REF!</v>
      </c>
      <c r="D86" s="44"/>
      <c r="E86" s="44"/>
      <c r="F86" s="44"/>
      <c r="G86" s="44"/>
      <c r="H86" s="44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idden="1">
      <c r="A87" s="43"/>
      <c r="B87" s="43"/>
      <c r="C87" s="37" t="str">
        <f>IFERROR(__xludf.DUMMYFUNCTION("IFERROR(
QUERY(
IMPORTRANGE(""1TegarCDw2dx-vCuwksNSPnqrAOJXGYg_ek3_j9ooJnQ"",""List1!B:H""),
""select Col2,Col3,Col4,Col5,Col6,Col7 where Col1='""&amp;B87&amp;""' and Col7='""&amp;$B$9&amp;""'"",
0
),
""""
)"),"#REF!")</f>
        <v>#REF!</v>
      </c>
      <c r="D87" s="44"/>
      <c r="E87" s="44"/>
      <c r="F87" s="44"/>
      <c r="G87" s="44"/>
      <c r="H87" s="44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idden="1">
      <c r="A88" s="43"/>
      <c r="B88" s="43"/>
      <c r="C88" s="37" t="str">
        <f>IFERROR(__xludf.DUMMYFUNCTION("IFERROR(
QUERY(
IMPORTRANGE(""1TegarCDw2dx-vCuwksNSPnqrAOJXGYg_ek3_j9ooJnQ"",""List1!B:H""),
""select Col2,Col3,Col4,Col5,Col6,Col7 where Col1='""&amp;B88&amp;""' and Col7='""&amp;$B$9&amp;""'"",
0
),
""""
)"),"#REF!")</f>
        <v>#REF!</v>
      </c>
      <c r="D88" s="44"/>
      <c r="E88" s="44"/>
      <c r="F88" s="44"/>
      <c r="G88" s="44"/>
      <c r="H88" s="44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idden="1">
      <c r="A89" s="43"/>
      <c r="B89" s="43"/>
      <c r="C89" s="37" t="str">
        <f>IFERROR(__xludf.DUMMYFUNCTION("IFERROR(
QUERY(
IMPORTRANGE(""1TegarCDw2dx-vCuwksNSPnqrAOJXGYg_ek3_j9ooJnQ"",""List1!B:H""),
""select Col2,Col3,Col4,Col5,Col6,Col7 where Col1='""&amp;B89&amp;""' and Col7='""&amp;$B$9&amp;""'"",
0
),
""""
)"),"#REF!")</f>
        <v>#REF!</v>
      </c>
      <c r="D89" s="44"/>
      <c r="E89" s="44"/>
      <c r="F89" s="44"/>
      <c r="G89" s="44"/>
      <c r="H89" s="44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idden="1">
      <c r="A90" s="43"/>
      <c r="B90" s="43"/>
      <c r="C90" s="37" t="str">
        <f>IFERROR(__xludf.DUMMYFUNCTION("IFERROR(
QUERY(
IMPORTRANGE(""1TegarCDw2dx-vCuwksNSPnqrAOJXGYg_ek3_j9ooJnQ"",""List1!B:H""),
""select Col2,Col3,Col4,Col5,Col6,Col7 where Col1='""&amp;B90&amp;""' and Col7='""&amp;$B$9&amp;""'"",
0
),
""""
)"),"#REF!")</f>
        <v>#REF!</v>
      </c>
      <c r="D90" s="44"/>
      <c r="E90" s="44"/>
      <c r="F90" s="44"/>
      <c r="G90" s="44"/>
      <c r="H90" s="44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idden="1">
      <c r="A91" s="43"/>
      <c r="B91" s="43"/>
      <c r="C91" s="37" t="str">
        <f>IFERROR(__xludf.DUMMYFUNCTION("IFERROR(
QUERY(
IMPORTRANGE(""1TegarCDw2dx-vCuwksNSPnqrAOJXGYg_ek3_j9ooJnQ"",""List1!B:H""),
""select Col2,Col3,Col4,Col5,Col6,Col7 where Col1='""&amp;B91&amp;""' and Col7='""&amp;$B$9&amp;""'"",
0
),
""""
)"),"#REF!")</f>
        <v>#REF!</v>
      </c>
      <c r="D91" s="44"/>
      <c r="E91" s="44"/>
      <c r="F91" s="44"/>
      <c r="G91" s="44"/>
      <c r="H91" s="44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idden="1">
      <c r="A92" s="43"/>
      <c r="B92" s="43"/>
      <c r="C92" s="37" t="str">
        <f>IFERROR(__xludf.DUMMYFUNCTION("IFERROR(
QUERY(
IMPORTRANGE(""1TegarCDw2dx-vCuwksNSPnqrAOJXGYg_ek3_j9ooJnQ"",""List1!B:H""),
""select Col2,Col3,Col4,Col5,Col6,Col7 where Col1='""&amp;B92&amp;""' and Col7='""&amp;$B$9&amp;""'"",
0
),
""""
)"),"#REF!")</f>
        <v>#REF!</v>
      </c>
      <c r="D92" s="44"/>
      <c r="E92" s="44"/>
      <c r="F92" s="44"/>
      <c r="G92" s="44"/>
      <c r="H92" s="44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idden="1">
      <c r="A93" s="43"/>
      <c r="B93" s="43"/>
      <c r="C93" s="37" t="str">
        <f>IFERROR(__xludf.DUMMYFUNCTION("IFERROR(
QUERY(
IMPORTRANGE(""1TegarCDw2dx-vCuwksNSPnqrAOJXGYg_ek3_j9ooJnQ"",""List1!B:H""),
""select Col2,Col3,Col4,Col5,Col6,Col7 where Col1='""&amp;B93&amp;""' and Col7='""&amp;$B$9&amp;""'"",
0
),
""""
)"),"#REF!")</f>
        <v>#REF!</v>
      </c>
      <c r="D93" s="44"/>
      <c r="E93" s="44"/>
      <c r="F93" s="44"/>
      <c r="G93" s="44"/>
      <c r="H93" s="44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idden="1">
      <c r="A94" s="43"/>
      <c r="B94" s="43"/>
      <c r="C94" s="37" t="str">
        <f>IFERROR(__xludf.DUMMYFUNCTION("IFERROR(
QUERY(
IMPORTRANGE(""1TegarCDw2dx-vCuwksNSPnqrAOJXGYg_ek3_j9ooJnQ"",""List1!B:H""),
""select Col2,Col3,Col4,Col5,Col6,Col7 where Col1='""&amp;B94&amp;""' and Col7='""&amp;$B$9&amp;""'"",
0
),
""""
)"),"#REF!")</f>
        <v>#REF!</v>
      </c>
      <c r="D94" s="44"/>
      <c r="E94" s="44"/>
      <c r="F94" s="44"/>
      <c r="G94" s="44"/>
      <c r="H94" s="44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idden="1">
      <c r="A95" s="43"/>
      <c r="B95" s="43"/>
      <c r="C95" s="37" t="str">
        <f>IFERROR(__xludf.DUMMYFUNCTION("IFERROR(
QUERY(
IMPORTRANGE(""1TegarCDw2dx-vCuwksNSPnqrAOJXGYg_ek3_j9ooJnQ"",""List1!B:H""),
""select Col2,Col3,Col4,Col5,Col6,Col7 where Col1='""&amp;B95&amp;""' and Col7='""&amp;$B$9&amp;""'"",
0
),
""""
)"),"#REF!")</f>
        <v>#REF!</v>
      </c>
      <c r="D95" s="44"/>
      <c r="E95" s="44"/>
      <c r="F95" s="44"/>
      <c r="G95" s="44"/>
      <c r="H95" s="44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idden="1">
      <c r="A96" s="43"/>
      <c r="B96" s="43"/>
      <c r="C96" s="37" t="str">
        <f>IFERROR(__xludf.DUMMYFUNCTION("IFERROR(
QUERY(
IMPORTRANGE(""1TegarCDw2dx-vCuwksNSPnqrAOJXGYg_ek3_j9ooJnQ"",""List1!B:H""),
""select Col2,Col3,Col4,Col5,Col6,Col7 where Col1='""&amp;B96&amp;""' and Col7='""&amp;$B$9&amp;""'"",
0
),
""""
)"),"#REF!")</f>
        <v>#REF!</v>
      </c>
      <c r="D96" s="44"/>
      <c r="E96" s="44"/>
      <c r="F96" s="44"/>
      <c r="G96" s="44"/>
      <c r="H96" s="44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idden="1">
      <c r="A97" s="43"/>
      <c r="B97" s="43"/>
      <c r="C97" s="37" t="str">
        <f>IFERROR(__xludf.DUMMYFUNCTION("IFERROR(
QUERY(
IMPORTRANGE(""1TegarCDw2dx-vCuwksNSPnqrAOJXGYg_ek3_j9ooJnQ"",""List1!B:H""),
""select Col2,Col3,Col4,Col5,Col6,Col7 where Col1='""&amp;B97&amp;""' and Col7='""&amp;$B$9&amp;""'"",
0
),
""""
)"),"#REF!")</f>
        <v>#REF!</v>
      </c>
      <c r="D97" s="44"/>
      <c r="E97" s="44"/>
      <c r="F97" s="44"/>
      <c r="G97" s="44"/>
      <c r="H97" s="44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idden="1">
      <c r="A98" s="43"/>
      <c r="B98" s="43"/>
      <c r="C98" s="37" t="str">
        <f>IFERROR(__xludf.DUMMYFUNCTION("IFERROR(
QUERY(
IMPORTRANGE(""1TegarCDw2dx-vCuwksNSPnqrAOJXGYg_ek3_j9ooJnQ"",""List1!B:H""),
""select Col2,Col3,Col4,Col5,Col6,Col7 where Col1='""&amp;B98&amp;""' and Col7='""&amp;$B$9&amp;""'"",
0
),
""""
)"),"#REF!")</f>
        <v>#REF!</v>
      </c>
      <c r="D98" s="44"/>
      <c r="E98" s="44"/>
      <c r="F98" s="44"/>
      <c r="G98" s="44"/>
      <c r="H98" s="44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idden="1">
      <c r="A99" s="43"/>
      <c r="B99" s="43"/>
      <c r="C99" s="37" t="str">
        <f>IFERROR(__xludf.DUMMYFUNCTION("IFERROR(
QUERY(
IMPORTRANGE(""1TegarCDw2dx-vCuwksNSPnqrAOJXGYg_ek3_j9ooJnQ"",""List1!B:H""),
""select Col2,Col3,Col4,Col5,Col6,Col7 where Col1='""&amp;B99&amp;""' and Col7='""&amp;$B$9&amp;""'"",
0
),
""""
)"),"#REF!")</f>
        <v>#REF!</v>
      </c>
      <c r="D99" s="44"/>
      <c r="E99" s="44"/>
      <c r="F99" s="44"/>
      <c r="G99" s="44"/>
      <c r="H99" s="44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idden="1">
      <c r="A100" s="43"/>
      <c r="B100" s="43"/>
      <c r="C100" s="37" t="str">
        <f>IFERROR(__xludf.DUMMYFUNCTION("IFERROR(
QUERY(
IMPORTRANGE(""1TegarCDw2dx-vCuwksNSPnqrAOJXGYg_ek3_j9ooJnQ"",""List1!B:H""),
""select Col2,Col3,Col4,Col5,Col6,Col7 where Col1='""&amp;B100&amp;""' and Col7='""&amp;$B$9&amp;""'"",
0
),
""""
)"),"#REF!")</f>
        <v>#REF!</v>
      </c>
      <c r="D100" s="44"/>
      <c r="E100" s="44"/>
      <c r="F100" s="44"/>
      <c r="G100" s="44"/>
      <c r="H100" s="44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idden="1">
      <c r="A101" s="43"/>
      <c r="B101" s="43"/>
      <c r="C101" s="37" t="str">
        <f>IFERROR(__xludf.DUMMYFUNCTION("IFERROR(
QUERY(
IMPORTRANGE(""1TegarCDw2dx-vCuwksNSPnqrAOJXGYg_ek3_j9ooJnQ"",""List1!B:H""),
""select Col2,Col3,Col4,Col5,Col6,Col7 where Col1='""&amp;B101&amp;""' and Col7='""&amp;$B$9&amp;""'"",
0
),
""""
)"),"#REF!")</f>
        <v>#REF!</v>
      </c>
      <c r="D101" s="44"/>
      <c r="E101" s="44"/>
      <c r="F101" s="44"/>
      <c r="G101" s="44"/>
      <c r="H101" s="44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idden="1">
      <c r="A102" s="43"/>
      <c r="B102" s="43"/>
      <c r="C102" s="37" t="str">
        <f>IFERROR(__xludf.DUMMYFUNCTION("IFERROR(
QUERY(
IMPORTRANGE(""1TegarCDw2dx-vCuwksNSPnqrAOJXGYg_ek3_j9ooJnQ"",""List1!B:H""),
""select Col2,Col3,Col4,Col5,Col6,Col7 where Col1='""&amp;B102&amp;""' and Col7='""&amp;$B$9&amp;""'"",
0
),
""""
)"),"#REF!")</f>
        <v>#REF!</v>
      </c>
      <c r="D102" s="44"/>
      <c r="E102" s="44"/>
      <c r="F102" s="44"/>
      <c r="G102" s="44"/>
      <c r="H102" s="44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idden="1">
      <c r="A103" s="43"/>
      <c r="B103" s="43"/>
      <c r="C103" s="37" t="str">
        <f>IFERROR(__xludf.DUMMYFUNCTION("IFERROR(
QUERY(
IMPORTRANGE(""1TegarCDw2dx-vCuwksNSPnqrAOJXGYg_ek3_j9ooJnQ"",""List1!B:H""),
""select Col2,Col3,Col4,Col5,Col6,Col7 where Col1='""&amp;B103&amp;""' and Col7='""&amp;$B$9&amp;""'"",
0
),
""""
)"),"#REF!")</f>
        <v>#REF!</v>
      </c>
      <c r="D103" s="44"/>
      <c r="E103" s="44"/>
      <c r="F103" s="44"/>
      <c r="G103" s="44"/>
      <c r="H103" s="44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idden="1">
      <c r="A104" s="43"/>
      <c r="B104" s="43"/>
      <c r="C104" s="37" t="str">
        <f>IFERROR(__xludf.DUMMYFUNCTION("IFERROR(
QUERY(
IMPORTRANGE(""1TegarCDw2dx-vCuwksNSPnqrAOJXGYg_ek3_j9ooJnQ"",""List1!B:H""),
""select Col2,Col3,Col4,Col5,Col6,Col7 where Col1='""&amp;B104&amp;""' and Col7='""&amp;$B$9&amp;""'"",
0
),
""""
)"),"#REF!")</f>
        <v>#REF!</v>
      </c>
      <c r="D104" s="44"/>
      <c r="E104" s="44"/>
      <c r="F104" s="44"/>
      <c r="G104" s="44"/>
      <c r="H104" s="44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idden="1">
      <c r="A105" s="43"/>
      <c r="B105" s="43"/>
      <c r="C105" s="37" t="str">
        <f>IFERROR(__xludf.DUMMYFUNCTION("IFERROR(
QUERY(
IMPORTRANGE(""1TegarCDw2dx-vCuwksNSPnqrAOJXGYg_ek3_j9ooJnQ"",""List1!B:H""),
""select Col2,Col3,Col4,Col5,Col6,Col7 where Col1='""&amp;B105&amp;""' and Col7='""&amp;$B$9&amp;""'"",
0
),
""""
)"),"#REF!")</f>
        <v>#REF!</v>
      </c>
      <c r="D105" s="44"/>
      <c r="E105" s="44"/>
      <c r="F105" s="44"/>
      <c r="G105" s="44"/>
      <c r="H105" s="44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idden="1">
      <c r="A106" s="43"/>
      <c r="B106" s="43"/>
      <c r="C106" s="37" t="str">
        <f>IFERROR(__xludf.DUMMYFUNCTION("IFERROR(
QUERY(
IMPORTRANGE(""1TegarCDw2dx-vCuwksNSPnqrAOJXGYg_ek3_j9ooJnQ"",""List1!B:H""),
""select Col2,Col3,Col4,Col5,Col6,Col7 where Col1='""&amp;B106&amp;""' and Col7='""&amp;$B$9&amp;""'"",
0
),
""""
)"),"#REF!")</f>
        <v>#REF!</v>
      </c>
      <c r="D106" s="44"/>
      <c r="E106" s="44"/>
      <c r="F106" s="44"/>
      <c r="G106" s="44"/>
      <c r="H106" s="44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idden="1">
      <c r="A107" s="43"/>
      <c r="B107" s="43"/>
      <c r="C107" s="37" t="str">
        <f>IFERROR(__xludf.DUMMYFUNCTION("IFERROR(
QUERY(
IMPORTRANGE(""1TegarCDw2dx-vCuwksNSPnqrAOJXGYg_ek3_j9ooJnQ"",""List1!B:H""),
""select Col2,Col3,Col4,Col5,Col6,Col7 where Col1='""&amp;B107&amp;""' and Col7='""&amp;$B$9&amp;""'"",
0
),
""""
)"),"#REF!")</f>
        <v>#REF!</v>
      </c>
      <c r="D107" s="44"/>
      <c r="E107" s="44"/>
      <c r="F107" s="44"/>
      <c r="G107" s="44"/>
      <c r="H107" s="44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idden="1">
      <c r="A108" s="43"/>
      <c r="B108" s="43"/>
      <c r="C108" s="37" t="str">
        <f>IFERROR(__xludf.DUMMYFUNCTION("IFERROR(
QUERY(
IMPORTRANGE(""1TegarCDw2dx-vCuwksNSPnqrAOJXGYg_ek3_j9ooJnQ"",""List1!B:H""),
""select Col2,Col3,Col4,Col5,Col6,Col7 where Col1='""&amp;B108&amp;""' and Col7='""&amp;$B$9&amp;""'"",
0
),
""""
)"),"#REF!")</f>
        <v>#REF!</v>
      </c>
      <c r="D108" s="44"/>
      <c r="E108" s="44"/>
      <c r="F108" s="44"/>
      <c r="G108" s="44"/>
      <c r="H108" s="44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idden="1">
      <c r="A109" s="43"/>
      <c r="B109" s="43"/>
      <c r="C109" s="37" t="str">
        <f>IFERROR(__xludf.DUMMYFUNCTION("IFERROR(
QUERY(
IMPORTRANGE(""1TegarCDw2dx-vCuwksNSPnqrAOJXGYg_ek3_j9ooJnQ"",""List1!B:H""),
""select Col2,Col3,Col4,Col5,Col6,Col7 where Col1='""&amp;B109&amp;""' and Col7='""&amp;$B$9&amp;""'"",
0
),
""""
)"),"#REF!")</f>
        <v>#REF!</v>
      </c>
      <c r="D109" s="44"/>
      <c r="E109" s="44"/>
      <c r="F109" s="44"/>
      <c r="G109" s="44"/>
      <c r="H109" s="44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idden="1">
      <c r="A110" s="43"/>
      <c r="B110" s="43"/>
      <c r="C110" s="37" t="str">
        <f>IFERROR(__xludf.DUMMYFUNCTION("IFERROR(
QUERY(
IMPORTRANGE(""1TegarCDw2dx-vCuwksNSPnqrAOJXGYg_ek3_j9ooJnQ"",""List1!B:H""),
""select Col2,Col3,Col4,Col5,Col6,Col7 where Col1='""&amp;B110&amp;""' and Col7='""&amp;$B$9&amp;""'"",
0
),
""""
)"),"#REF!")</f>
        <v>#REF!</v>
      </c>
      <c r="D110" s="44"/>
      <c r="E110" s="44"/>
      <c r="F110" s="44"/>
      <c r="G110" s="44"/>
      <c r="H110" s="44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idden="1">
      <c r="A111" s="43"/>
      <c r="B111" s="43"/>
      <c r="C111" s="37" t="str">
        <f>IFERROR(__xludf.DUMMYFUNCTION("IFERROR(
QUERY(
IMPORTRANGE(""1TegarCDw2dx-vCuwksNSPnqrAOJXGYg_ek3_j9ooJnQ"",""List1!B:H""),
""select Col2,Col3,Col4,Col5,Col6,Col7 where Col1='""&amp;B111&amp;""' and Col7='""&amp;$B$9&amp;""'"",
0
),
""""
)"),"#REF!")</f>
        <v>#REF!</v>
      </c>
      <c r="D111" s="44"/>
      <c r="E111" s="44"/>
      <c r="F111" s="44"/>
      <c r="G111" s="44"/>
      <c r="H111" s="44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idden="1">
      <c r="A112" s="43"/>
      <c r="B112" s="43"/>
      <c r="C112" s="37" t="str">
        <f>IFERROR(__xludf.DUMMYFUNCTION("IFERROR(
QUERY(
IMPORTRANGE(""1TegarCDw2dx-vCuwksNSPnqrAOJXGYg_ek3_j9ooJnQ"",""List1!B:H""),
""select Col2,Col3,Col4,Col5,Col6,Col7 where Col1='""&amp;B112&amp;""' and Col7='""&amp;$B$9&amp;""'"",
0
),
""""
)"),"#REF!")</f>
        <v>#REF!</v>
      </c>
      <c r="D112" s="44"/>
      <c r="E112" s="44"/>
      <c r="F112" s="44"/>
      <c r="G112" s="44"/>
      <c r="H112" s="44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idden="1">
      <c r="A113" s="43"/>
      <c r="B113" s="43"/>
      <c r="C113" s="37" t="str">
        <f>IFERROR(__xludf.DUMMYFUNCTION("IFERROR(
QUERY(
IMPORTRANGE(""1TegarCDw2dx-vCuwksNSPnqrAOJXGYg_ek3_j9ooJnQ"",""List1!B:H""),
""select Col2,Col3,Col4,Col5,Col6,Col7 where Col1='""&amp;B113&amp;""' and Col7='""&amp;$B$9&amp;""'"",
0
),
""""
)"),"#REF!")</f>
        <v>#REF!</v>
      </c>
      <c r="D113" s="44"/>
      <c r="E113" s="44"/>
      <c r="F113" s="44"/>
      <c r="G113" s="44"/>
      <c r="H113" s="44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idden="1">
      <c r="A114" s="43"/>
      <c r="B114" s="43"/>
      <c r="C114" s="37" t="str">
        <f>IFERROR(__xludf.DUMMYFUNCTION("IFERROR(
QUERY(
IMPORTRANGE(""1TegarCDw2dx-vCuwksNSPnqrAOJXGYg_ek3_j9ooJnQ"",""List1!B:H""),
""select Col2,Col3,Col4,Col5,Col6,Col7 where Col1='""&amp;B114&amp;""' and Col7='""&amp;$B$9&amp;""'"",
0
),
""""
)"),"#REF!")</f>
        <v>#REF!</v>
      </c>
      <c r="D114" s="44"/>
      <c r="E114" s="44"/>
      <c r="F114" s="44"/>
      <c r="G114" s="44"/>
      <c r="H114" s="44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idden="1">
      <c r="A115" s="43"/>
      <c r="B115" s="43"/>
      <c r="C115" s="37" t="str">
        <f>IFERROR(__xludf.DUMMYFUNCTION("IFERROR(
QUERY(
IMPORTRANGE(""1TegarCDw2dx-vCuwksNSPnqrAOJXGYg_ek3_j9ooJnQ"",""List1!B:H""),
""select Col2,Col3,Col4,Col5,Col6,Col7 where Col1='""&amp;B115&amp;""' and Col7='""&amp;$B$9&amp;""'"",
0
),
""""
)"),"#REF!")</f>
        <v>#REF!</v>
      </c>
      <c r="D115" s="44"/>
      <c r="E115" s="44"/>
      <c r="F115" s="44"/>
      <c r="G115" s="44"/>
      <c r="H115" s="44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idden="1">
      <c r="A116" s="43"/>
      <c r="B116" s="43"/>
      <c r="C116" s="37" t="str">
        <f>IFERROR(__xludf.DUMMYFUNCTION("IFERROR(
QUERY(
IMPORTRANGE(""1TegarCDw2dx-vCuwksNSPnqrAOJXGYg_ek3_j9ooJnQ"",""List1!B:H""),
""select Col2,Col3,Col4,Col5,Col6,Col7 where Col1='""&amp;B116&amp;""' and Col7='""&amp;$B$9&amp;""'"",
0
),
""""
)"),"#REF!")</f>
        <v>#REF!</v>
      </c>
      <c r="D116" s="44"/>
      <c r="E116" s="44"/>
      <c r="F116" s="44"/>
      <c r="G116" s="44"/>
      <c r="H116" s="44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idden="1">
      <c r="A117" s="43"/>
      <c r="B117" s="43"/>
      <c r="C117" s="37" t="str">
        <f>IFERROR(__xludf.DUMMYFUNCTION("IFERROR(
QUERY(
IMPORTRANGE(""1TegarCDw2dx-vCuwksNSPnqrAOJXGYg_ek3_j9ooJnQ"",""List1!B:H""),
""select Col2,Col3,Col4,Col5,Col6,Col7 where Col1='""&amp;B117&amp;""' and Col7='""&amp;$B$9&amp;""'"",
0
),
""""
)"),"#REF!")</f>
        <v>#REF!</v>
      </c>
      <c r="D117" s="44"/>
      <c r="E117" s="44"/>
      <c r="F117" s="44"/>
      <c r="G117" s="44"/>
      <c r="H117" s="44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idden="1">
      <c r="A118" s="43"/>
      <c r="B118" s="43"/>
      <c r="C118" s="37" t="str">
        <f>IFERROR(__xludf.DUMMYFUNCTION("IFERROR(
QUERY(
IMPORTRANGE(""1TegarCDw2dx-vCuwksNSPnqrAOJXGYg_ek3_j9ooJnQ"",""List1!B:H""),
""select Col2,Col3,Col4,Col5,Col6,Col7 where Col1='""&amp;B118&amp;""' and Col7='""&amp;$B$9&amp;""'"",
0
),
""""
)"),"#REF!")</f>
        <v>#REF!</v>
      </c>
      <c r="D118" s="44"/>
      <c r="E118" s="44"/>
      <c r="F118" s="44"/>
      <c r="G118" s="44"/>
      <c r="H118" s="44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46" t="s">
        <v>62</v>
      </c>
      <c r="B119" s="47"/>
      <c r="C119" s="47"/>
      <c r="D119" s="47"/>
      <c r="E119" s="47"/>
      <c r="F119" s="47"/>
      <c r="G119" s="47"/>
      <c r="H119" s="47"/>
      <c r="I119" s="4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/>
      <c r="B120" s="18"/>
      <c r="C120" s="18"/>
      <c r="D120" s="1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/>
      <c r="B121" s="18"/>
      <c r="C121" s="18"/>
      <c r="D121" s="1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/>
      <c r="B122" s="18"/>
      <c r="C122" s="18"/>
      <c r="D122" s="1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63</v>
      </c>
      <c r="C123" s="18"/>
      <c r="D123" s="18" t="s">
        <v>64</v>
      </c>
      <c r="E123" s="14"/>
      <c r="F123" s="14"/>
      <c r="G123" s="18" t="s">
        <v>65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8" t="s">
        <v>66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67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  <row r="1013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</row>
    <row r="1014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</row>
    <row r="1015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</row>
    <row r="1016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</row>
    <row r="1017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</row>
    <row r="1018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</row>
    <row r="1019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</row>
    <row r="1020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</row>
    <row r="102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</row>
    <row r="102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</row>
    <row r="102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</row>
    <row r="1024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</row>
    <row r="1025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</row>
    <row r="1026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</row>
    <row r="1027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</row>
    <row r="1028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</row>
    <row r="1029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</row>
    <row r="1030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</row>
    <row r="103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</row>
    <row r="103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</row>
    <row r="1033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</row>
    <row r="1034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</row>
    <row r="1035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</row>
    <row r="1036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</row>
    <row r="1037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</row>
    <row r="1038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</row>
    <row r="1039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</row>
    <row r="104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</row>
    <row r="104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</row>
    <row r="104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</row>
    <row r="104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</row>
    <row r="1044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</row>
    <row r="1045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</row>
    <row r="1046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</row>
    <row r="1047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</row>
    <row r="1048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</row>
    <row r="1049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</row>
    <row r="1050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</row>
    <row r="105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</row>
    <row r="105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</row>
    <row r="1053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</row>
    <row r="1054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</row>
    <row r="1055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</row>
    <row r="1056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</row>
    <row r="1057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</row>
    <row r="1058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</row>
    <row r="1059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</row>
    <row r="1060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</row>
    <row r="106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</row>
    <row r="106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</row>
    <row r="106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</row>
    <row r="1064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</row>
    <row r="1065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</row>
    <row r="1066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</row>
    <row r="1067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</row>
    <row r="1068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</row>
    <row r="1069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</row>
    <row r="1070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</row>
    <row r="107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</row>
    <row r="107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</row>
    <row r="107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</row>
    <row r="1074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</row>
    <row r="1075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</row>
    <row r="1076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</row>
    <row r="1077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</row>
    <row r="1078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</row>
    <row r="1079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</row>
    <row r="1080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</row>
    <row r="108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</row>
    <row r="108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</row>
    <row r="1083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</row>
    <row r="1084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</row>
    <row r="108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</row>
    <row r="1086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</row>
    <row r="1087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</row>
    <row r="1088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</row>
    <row r="1089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</row>
    <row r="1090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</row>
    <row r="109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</row>
    <row r="109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</row>
    <row r="1093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</row>
  </sheetData>
  <mergeCells count="10">
    <mergeCell ref="A12:B12"/>
    <mergeCell ref="A123:B123"/>
    <mergeCell ref="A125:B125"/>
    <mergeCell ref="C1:I2"/>
    <mergeCell ref="A2:B2"/>
    <mergeCell ref="G3:H3"/>
    <mergeCell ref="B5:C5"/>
    <mergeCell ref="G5:I5"/>
    <mergeCell ref="A7:I7"/>
    <mergeCell ref="E8:F8"/>
  </mergeCells>
  <drawing r:id="rId1"/>
</worksheet>
</file>